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omas\Documents\Skogtiltaksfondet\Prosjektrapporter\2018\"/>
    </mc:Choice>
  </mc:AlternateContent>
  <xr:revisionPtr revIDLastSave="0" documentId="8_{CCC84219-E82A-4577-8FD9-08ADC629149D}" xr6:coauthVersionLast="32" xr6:coauthVersionMax="32" xr10:uidLastSave="{00000000-0000-0000-0000-000000000000}"/>
  <workbookProtection workbookAlgorithmName="SHA-512" workbookHashValue="71kbuFyWMqLTu9NsMhf3AR9dQuYf37LvwweK+B7IUJSfIQMOmFUYdKSIfPd31L2Fg9JfzoGiWumXXPhWdiDdmg==" workbookSaltValue="gk36mFvbGGcPgft1j3NhWQ==" workbookSpinCount="100000" lockStructure="1"/>
  <bookViews>
    <workbookView xWindow="0" yWindow="0" windowWidth="28800" windowHeight="11625" xr2:uid="{00000000-000D-0000-FFFF-FFFF00000000}"/>
  </bookViews>
  <sheets>
    <sheet name="Kalkulator" sheetId="1" r:id="rId1"/>
    <sheet name="Tabell" sheetId="7" state="hidden" r:id="rId2"/>
    <sheet name="FE" sheetId="5" state="hidden" r:id="rId3"/>
    <sheet name="Proddata fra skoghåndbok" sheetId="2" state="hidden" r:id="rId4"/>
    <sheet name="Grunnverdi" sheetId="4" state="hidden" r:id="rId5"/>
    <sheet name="F8" sheetId="6" state="hidden" r:id="rId6"/>
    <sheet name="F11" sheetId="9" state="hidden" r:id="rId7"/>
    <sheet name="F14" sheetId="10" state="hidden" r:id="rId8"/>
    <sheet name="F17" sheetId="8" state="hidden" r:id="rId9"/>
    <sheet name="F20" sheetId="11" state="hidden" r:id="rId10"/>
  </sheets>
  <externalReferences>
    <externalReference r:id="rId11"/>
  </externalReferences>
  <definedNames>
    <definedName name="DiscountRate">[1]Spruce!$B$27</definedName>
    <definedName name="Netto_normal">Kalkulator!$C$47</definedName>
    <definedName name="Netto_skade">Kalkulator!$E$47</definedName>
    <definedName name="Rentefot_1">Kalkulator!$B$24</definedName>
    <definedName name="Rentefot_2">Kalkulator!$B$25</definedName>
    <definedName name="Rentefot_3">Kalkulator!$B$26</definedName>
    <definedName name="Sensitivitets_analyser">Kalkulator!$A$66</definedName>
    <definedName name="Slutthogst_normal">Kalkulator!$B$22</definedName>
    <definedName name="Slutthogst_skade">Kalkulator!#REF!</definedName>
    <definedName name="Vol_daa">Kalkulator!$B$23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1" l="1"/>
  <c r="L146" i="1" s="1"/>
  <c r="F38" i="1" l="1"/>
  <c r="K28" i="2" l="1"/>
  <c r="J28" i="2"/>
  <c r="I28" i="2"/>
  <c r="H28" i="2"/>
  <c r="G28" i="2" s="1"/>
  <c r="F28" i="2" s="1"/>
  <c r="E28" i="2" s="1"/>
  <c r="D28" i="2" s="1"/>
  <c r="C28" i="2" s="1"/>
  <c r="B28" i="2" s="1"/>
  <c r="C12" i="4"/>
  <c r="D12" i="4"/>
  <c r="E12" i="4"/>
  <c r="F12" i="4"/>
  <c r="Q16" i="4" s="1"/>
  <c r="C13" i="4"/>
  <c r="N17" i="4" s="1"/>
  <c r="D13" i="4"/>
  <c r="O17" i="4" s="1"/>
  <c r="E13" i="4"/>
  <c r="P17" i="4" s="1"/>
  <c r="F13" i="4"/>
  <c r="Q17" i="4" s="1"/>
  <c r="B13" i="4"/>
  <c r="B12" i="4"/>
  <c r="I5" i="1"/>
  <c r="F56" i="1"/>
  <c r="F57" i="1"/>
  <c r="B8" i="1"/>
  <c r="B21" i="1"/>
  <c r="H13" i="2"/>
  <c r="E48" i="2"/>
  <c r="F48" i="2" s="1"/>
  <c r="D48" i="2"/>
  <c r="E47" i="2"/>
  <c r="F47" i="2" s="1"/>
  <c r="D47" i="2"/>
  <c r="E46" i="2"/>
  <c r="F46" i="2"/>
  <c r="D46" i="2"/>
  <c r="E45" i="2"/>
  <c r="F45" i="2"/>
  <c r="D45" i="2"/>
  <c r="E44" i="2"/>
  <c r="F44" i="2" s="1"/>
  <c r="D44" i="2"/>
  <c r="G147" i="1"/>
  <c r="L147" i="1" s="1"/>
  <c r="B148" i="1"/>
  <c r="B149" i="1" s="1"/>
  <c r="O156" i="1"/>
  <c r="J156" i="1"/>
  <c r="E156" i="1"/>
  <c r="O155" i="1"/>
  <c r="J155" i="1"/>
  <c r="E155" i="1"/>
  <c r="O154" i="1"/>
  <c r="J154" i="1"/>
  <c r="E154" i="1"/>
  <c r="O153" i="1"/>
  <c r="J153" i="1"/>
  <c r="E153" i="1"/>
  <c r="O152" i="1"/>
  <c r="J152" i="1"/>
  <c r="E152" i="1"/>
  <c r="O151" i="1"/>
  <c r="J151" i="1"/>
  <c r="E151" i="1"/>
  <c r="O150" i="1"/>
  <c r="J150" i="1"/>
  <c r="E150" i="1"/>
  <c r="O149" i="1"/>
  <c r="J149" i="1"/>
  <c r="E149" i="1"/>
  <c r="O148" i="1"/>
  <c r="J148" i="1"/>
  <c r="E148" i="1"/>
  <c r="O147" i="1"/>
  <c r="J147" i="1"/>
  <c r="E147" i="1"/>
  <c r="O145" i="1"/>
  <c r="N145" i="1"/>
  <c r="M145" i="1"/>
  <c r="J145" i="1"/>
  <c r="I145" i="1"/>
  <c r="H145" i="1"/>
  <c r="E145" i="1"/>
  <c r="D145" i="1"/>
  <c r="C145" i="1"/>
  <c r="B69" i="1"/>
  <c r="G85" i="1"/>
  <c r="L85" i="1"/>
  <c r="L102" i="1"/>
  <c r="G102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L131" i="1"/>
  <c r="L132" i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O130" i="1"/>
  <c r="O128" i="1"/>
  <c r="N128" i="1"/>
  <c r="M128" i="1"/>
  <c r="O125" i="1"/>
  <c r="O124" i="1"/>
  <c r="O123" i="1"/>
  <c r="O122" i="1"/>
  <c r="O121" i="1"/>
  <c r="O119" i="1"/>
  <c r="N119" i="1"/>
  <c r="M119" i="1"/>
  <c r="O114" i="1"/>
  <c r="O113" i="1"/>
  <c r="O112" i="1"/>
  <c r="O111" i="1"/>
  <c r="O110" i="1"/>
  <c r="L110" i="1"/>
  <c r="L111" i="1"/>
  <c r="L112" i="1"/>
  <c r="L113" i="1" s="1"/>
  <c r="L114" i="1" s="1"/>
  <c r="O109" i="1"/>
  <c r="O108" i="1"/>
  <c r="L108" i="1"/>
  <c r="L107" i="1" s="1"/>
  <c r="L106" i="1" s="1"/>
  <c r="L105" i="1"/>
  <c r="L104" i="1" s="1"/>
  <c r="O107" i="1"/>
  <c r="O106" i="1"/>
  <c r="O105" i="1"/>
  <c r="O104" i="1"/>
  <c r="O102" i="1"/>
  <c r="N102" i="1"/>
  <c r="M102" i="1"/>
  <c r="J114" i="1"/>
  <c r="J113" i="1"/>
  <c r="J112" i="1"/>
  <c r="J111" i="1"/>
  <c r="J110" i="1"/>
  <c r="G110" i="1"/>
  <c r="G111" i="1"/>
  <c r="G112" i="1"/>
  <c r="G113" i="1" s="1"/>
  <c r="G114" i="1" s="1"/>
  <c r="J109" i="1"/>
  <c r="J108" i="1"/>
  <c r="G108" i="1"/>
  <c r="G107" i="1" s="1"/>
  <c r="G106" i="1" s="1"/>
  <c r="G105" i="1"/>
  <c r="G104" i="1" s="1"/>
  <c r="J107" i="1"/>
  <c r="J106" i="1"/>
  <c r="J105" i="1"/>
  <c r="J104" i="1"/>
  <c r="J102" i="1"/>
  <c r="I102" i="1"/>
  <c r="H102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G131" i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J130" i="1"/>
  <c r="J128" i="1"/>
  <c r="I128" i="1"/>
  <c r="H128" i="1"/>
  <c r="J125" i="1"/>
  <c r="J124" i="1"/>
  <c r="J123" i="1"/>
  <c r="J122" i="1"/>
  <c r="J121" i="1"/>
  <c r="J119" i="1"/>
  <c r="I119" i="1"/>
  <c r="H119" i="1"/>
  <c r="E135" i="1"/>
  <c r="E136" i="1"/>
  <c r="E137" i="1"/>
  <c r="E138" i="1"/>
  <c r="E139" i="1"/>
  <c r="E140" i="1"/>
  <c r="E141" i="1"/>
  <c r="E142" i="1"/>
  <c r="B131" i="1"/>
  <c r="B132" i="1"/>
  <c r="B133" i="1"/>
  <c r="B134" i="1" s="1"/>
  <c r="B135" i="1" s="1"/>
  <c r="B136" i="1" s="1"/>
  <c r="B137" i="1"/>
  <c r="B138" i="1" s="1"/>
  <c r="B139" i="1" s="1"/>
  <c r="B140" i="1" s="1"/>
  <c r="B141" i="1"/>
  <c r="B142" i="1" s="1"/>
  <c r="E134" i="1"/>
  <c r="E133" i="1"/>
  <c r="E132" i="1"/>
  <c r="E131" i="1"/>
  <c r="E130" i="1"/>
  <c r="E128" i="1"/>
  <c r="D128" i="1"/>
  <c r="C128" i="1"/>
  <c r="E122" i="1"/>
  <c r="E123" i="1"/>
  <c r="E124" i="1"/>
  <c r="E125" i="1"/>
  <c r="E119" i="1"/>
  <c r="D119" i="1"/>
  <c r="C119" i="1"/>
  <c r="E121" i="1"/>
  <c r="D3" i="4"/>
  <c r="E3" i="4" s="1"/>
  <c r="N13" i="4"/>
  <c r="O13" i="4"/>
  <c r="N16" i="4"/>
  <c r="O16" i="4"/>
  <c r="P16" i="4"/>
  <c r="M16" i="4"/>
  <c r="M13" i="4"/>
  <c r="B110" i="1"/>
  <c r="B111" i="1"/>
  <c r="B112" i="1" s="1"/>
  <c r="B113" i="1" s="1"/>
  <c r="B114" i="1" s="1"/>
  <c r="B108" i="1"/>
  <c r="B107" i="1" s="1"/>
  <c r="B106" i="1" s="1"/>
  <c r="B105" i="1" s="1"/>
  <c r="B104" i="1"/>
  <c r="E114" i="1"/>
  <c r="E113" i="1"/>
  <c r="E112" i="1"/>
  <c r="E111" i="1"/>
  <c r="E110" i="1"/>
  <c r="E109" i="1"/>
  <c r="E108" i="1"/>
  <c r="E107" i="1"/>
  <c r="E106" i="1"/>
  <c r="E105" i="1"/>
  <c r="E104" i="1"/>
  <c r="E102" i="1"/>
  <c r="D102" i="1"/>
  <c r="C102" i="1"/>
  <c r="F49" i="1"/>
  <c r="C27" i="1" s="1"/>
  <c r="E39" i="1"/>
  <c r="E41" i="1" s="1"/>
  <c r="F39" i="1"/>
  <c r="F41" i="1" s="1"/>
  <c r="M32" i="2"/>
  <c r="L32" i="2"/>
  <c r="K32" i="2"/>
  <c r="J32" i="2" s="1"/>
  <c r="I32" i="2" s="1"/>
  <c r="H32" i="2" s="1"/>
  <c r="G32" i="2" s="1"/>
  <c r="F32" i="2" s="1"/>
  <c r="E32" i="2" s="1"/>
  <c r="D32" i="2" s="1"/>
  <c r="C32" i="2" s="1"/>
  <c r="B32" i="2" s="1"/>
  <c r="K31" i="2"/>
  <c r="J31" i="2" s="1"/>
  <c r="I31" i="2" s="1"/>
  <c r="H31" i="2" s="1"/>
  <c r="G31" i="2" s="1"/>
  <c r="F31" i="2" s="1"/>
  <c r="I30" i="2"/>
  <c r="H30" i="2" s="1"/>
  <c r="G30" i="2" s="1"/>
  <c r="F30" i="2" s="1"/>
  <c r="E31" i="2"/>
  <c r="D31" i="2" s="1"/>
  <c r="C31" i="2" s="1"/>
  <c r="B31" i="2" s="1"/>
  <c r="E30" i="2"/>
  <c r="D30" i="2" s="1"/>
  <c r="C30" i="2" s="1"/>
  <c r="B30" i="2" s="1"/>
  <c r="O85" i="1"/>
  <c r="N85" i="1"/>
  <c r="M85" i="1"/>
  <c r="J85" i="1"/>
  <c r="I85" i="1"/>
  <c r="H85" i="1"/>
  <c r="E85" i="1"/>
  <c r="D85" i="1"/>
  <c r="C85" i="1"/>
  <c r="O68" i="1"/>
  <c r="N68" i="1"/>
  <c r="M68" i="1"/>
  <c r="J68" i="1"/>
  <c r="I68" i="1"/>
  <c r="H68" i="1"/>
  <c r="E68" i="1"/>
  <c r="D68" i="1"/>
  <c r="C68" i="1"/>
  <c r="O97" i="1"/>
  <c r="O96" i="1"/>
  <c r="O95" i="1"/>
  <c r="O94" i="1"/>
  <c r="O93" i="1"/>
  <c r="O92" i="1"/>
  <c r="O91" i="1"/>
  <c r="O90" i="1"/>
  <c r="O89" i="1"/>
  <c r="O88" i="1"/>
  <c r="O87" i="1"/>
  <c r="G92" i="1"/>
  <c r="L92" i="1" s="1"/>
  <c r="J97" i="1"/>
  <c r="J96" i="1"/>
  <c r="J95" i="1"/>
  <c r="J94" i="1"/>
  <c r="J93" i="1"/>
  <c r="J92" i="1"/>
  <c r="J91" i="1"/>
  <c r="J90" i="1"/>
  <c r="J89" i="1"/>
  <c r="J88" i="1"/>
  <c r="J87" i="1"/>
  <c r="G84" i="1"/>
  <c r="E97" i="1"/>
  <c r="E96" i="1"/>
  <c r="E95" i="1"/>
  <c r="E94" i="1"/>
  <c r="E93" i="1"/>
  <c r="E92" i="1"/>
  <c r="E91" i="1"/>
  <c r="E90" i="1"/>
  <c r="E89" i="1"/>
  <c r="E88" i="1"/>
  <c r="E87" i="1"/>
  <c r="B60" i="1"/>
  <c r="B7" i="4" s="1"/>
  <c r="B16" i="4" s="1"/>
  <c r="B59" i="1"/>
  <c r="C7" i="4" s="1"/>
  <c r="C16" i="4" s="1"/>
  <c r="B58" i="1"/>
  <c r="D7" i="4" s="1"/>
  <c r="D16" i="4" s="1"/>
  <c r="B57" i="1"/>
  <c r="B56" i="1"/>
  <c r="B91" i="1"/>
  <c r="B90" i="1" s="1"/>
  <c r="G91" i="1"/>
  <c r="L91" i="1" s="1"/>
  <c r="B93" i="1"/>
  <c r="B94" i="1"/>
  <c r="B95" i="1"/>
  <c r="G93" i="1"/>
  <c r="L93" i="1" s="1"/>
  <c r="G94" i="1"/>
  <c r="L94" i="1" s="1"/>
  <c r="C8" i="4"/>
  <c r="D8" i="4"/>
  <c r="B8" i="4"/>
  <c r="G67" i="1"/>
  <c r="L68" i="1"/>
  <c r="G68" i="1"/>
  <c r="J80" i="1"/>
  <c r="J79" i="1"/>
  <c r="J78" i="1"/>
  <c r="J77" i="1"/>
  <c r="J76" i="1"/>
  <c r="J75" i="1"/>
  <c r="J74" i="1"/>
  <c r="J73" i="1"/>
  <c r="J72" i="1"/>
  <c r="J71" i="1"/>
  <c r="J70" i="1"/>
  <c r="O80" i="1"/>
  <c r="O79" i="1"/>
  <c r="O78" i="1"/>
  <c r="O77" i="1"/>
  <c r="O76" i="1"/>
  <c r="O75" i="1"/>
  <c r="O74" i="1"/>
  <c r="O73" i="1"/>
  <c r="O72" i="1"/>
  <c r="O71" i="1"/>
  <c r="L71" i="1"/>
  <c r="L72" i="1" s="1"/>
  <c r="L73" i="1" s="1"/>
  <c r="L74" i="1" s="1"/>
  <c r="L75" i="1"/>
  <c r="L76" i="1" s="1"/>
  <c r="L77" i="1" s="1"/>
  <c r="L78" i="1" s="1"/>
  <c r="L79" i="1" s="1"/>
  <c r="L80" i="1" s="1"/>
  <c r="O70" i="1"/>
  <c r="G71" i="1"/>
  <c r="G72" i="1"/>
  <c r="G73" i="1" s="1"/>
  <c r="G74" i="1" s="1"/>
  <c r="G75" i="1" s="1"/>
  <c r="G76" i="1" s="1"/>
  <c r="G77" i="1" s="1"/>
  <c r="G78" i="1" s="1"/>
  <c r="G79" i="1" s="1"/>
  <c r="G80" i="1" s="1"/>
  <c r="E71" i="1"/>
  <c r="E72" i="1"/>
  <c r="E73" i="1"/>
  <c r="E74" i="1"/>
  <c r="E75" i="1"/>
  <c r="E76" i="1"/>
  <c r="E77" i="1"/>
  <c r="E78" i="1"/>
  <c r="E79" i="1"/>
  <c r="E80" i="1"/>
  <c r="E70" i="1"/>
  <c r="B71" i="1"/>
  <c r="B72" i="1" s="1"/>
  <c r="B73" i="1" s="1"/>
  <c r="B74" i="1" s="1"/>
  <c r="B75" i="1"/>
  <c r="B76" i="1" s="1"/>
  <c r="B77" i="1" s="1"/>
  <c r="B78" i="1" s="1"/>
  <c r="B79" i="1"/>
  <c r="B80" i="1" s="1"/>
  <c r="D38" i="1"/>
  <c r="G36" i="7"/>
  <c r="H36" i="7"/>
  <c r="I36" i="7" s="1"/>
  <c r="J36" i="7" s="1"/>
  <c r="K36" i="7" s="1"/>
  <c r="L36" i="7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Q39" i="7"/>
  <c r="R39" i="7" s="1"/>
  <c r="S39" i="7" s="1"/>
  <c r="T39" i="7" s="1"/>
  <c r="U39" i="7" s="1"/>
  <c r="V39" i="7" s="1"/>
  <c r="W39" i="7" s="1"/>
  <c r="X39" i="7" s="1"/>
  <c r="Y39" i="7" s="1"/>
  <c r="J39" i="7"/>
  <c r="K39" i="7" s="1"/>
  <c r="L39" i="7" s="1"/>
  <c r="M39" i="7"/>
  <c r="N39" i="7" s="1"/>
  <c r="O39" i="7" s="1"/>
  <c r="L37" i="7"/>
  <c r="M37" i="7"/>
  <c r="N37" i="7" s="1"/>
  <c r="O37" i="7" s="1"/>
  <c r="P37" i="7" s="1"/>
  <c r="Q37" i="7"/>
  <c r="R37" i="7" s="1"/>
  <c r="S37" i="7" s="1"/>
  <c r="T37" i="7" s="1"/>
  <c r="U37" i="7"/>
  <c r="V37" i="7" s="1"/>
  <c r="W37" i="7" s="1"/>
  <c r="X37" i="7" s="1"/>
  <c r="Y37" i="7" s="1"/>
  <c r="F31" i="7"/>
  <c r="G30" i="7"/>
  <c r="G31" i="7"/>
  <c r="M8" i="2"/>
  <c r="M9" i="2"/>
  <c r="D32" i="7"/>
  <c r="H30" i="7"/>
  <c r="I30" i="7"/>
  <c r="J30" i="7" s="1"/>
  <c r="C19" i="7"/>
  <c r="D19" i="7"/>
  <c r="D20" i="7" s="1"/>
  <c r="E19" i="7"/>
  <c r="E25" i="7" s="1"/>
  <c r="C18" i="7"/>
  <c r="E18" i="7"/>
  <c r="E24" i="7"/>
  <c r="F16" i="7"/>
  <c r="C20" i="7"/>
  <c r="C21" i="7"/>
  <c r="G17" i="7"/>
  <c r="H17" i="7" s="1"/>
  <c r="I17" i="7" s="1"/>
  <c r="I16" i="7" s="1"/>
  <c r="J17" i="7"/>
  <c r="X7" i="11"/>
  <c r="X8" i="11"/>
  <c r="X9" i="11"/>
  <c r="X10" i="11"/>
  <c r="X11" i="11"/>
  <c r="X12" i="11"/>
  <c r="X13" i="11"/>
  <c r="X14" i="11"/>
  <c r="X15" i="11"/>
  <c r="X16" i="11"/>
  <c r="X17" i="11"/>
  <c r="X18" i="11"/>
  <c r="X6" i="11"/>
  <c r="W5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6" i="11"/>
  <c r="S5" i="11"/>
  <c r="Y5" i="11" s="1"/>
  <c r="Z6" i="11"/>
  <c r="S7" i="11"/>
  <c r="Y7" i="11" s="1"/>
  <c r="Z7" i="11"/>
  <c r="Z8" i="11"/>
  <c r="Z9" i="11"/>
  <c r="S10" i="11"/>
  <c r="Y10" i="11" s="1"/>
  <c r="Z10" i="11"/>
  <c r="Z11" i="11"/>
  <c r="Z12" i="11"/>
  <c r="S13" i="11"/>
  <c r="Y13" i="11"/>
  <c r="Z13" i="11"/>
  <c r="Z14" i="11"/>
  <c r="S15" i="11"/>
  <c r="Y15" i="11"/>
  <c r="Z15" i="11"/>
  <c r="Z16" i="11"/>
  <c r="Z17" i="11"/>
  <c r="S18" i="11"/>
  <c r="Y18" i="11"/>
  <c r="Z18" i="11"/>
  <c r="Z4" i="11"/>
  <c r="Y4" i="11"/>
  <c r="Z5" i="11"/>
  <c r="Q18" i="11"/>
  <c r="O18" i="11"/>
  <c r="S17" i="11"/>
  <c r="Y17" i="11"/>
  <c r="Q17" i="11"/>
  <c r="O17" i="11"/>
  <c r="S16" i="11"/>
  <c r="Y16" i="11"/>
  <c r="Q16" i="11"/>
  <c r="O16" i="11"/>
  <c r="Q15" i="11"/>
  <c r="O15" i="11"/>
  <c r="S14" i="11"/>
  <c r="Y14" i="11" s="1"/>
  <c r="Q14" i="11"/>
  <c r="O14" i="11"/>
  <c r="Q13" i="11"/>
  <c r="O13" i="11"/>
  <c r="S12" i="11"/>
  <c r="Y12" i="11"/>
  <c r="Q12" i="11"/>
  <c r="O12" i="11"/>
  <c r="S11" i="11"/>
  <c r="Y11" i="11"/>
  <c r="Q11" i="11"/>
  <c r="O11" i="11"/>
  <c r="Q10" i="11"/>
  <c r="O10" i="11"/>
  <c r="S9" i="11"/>
  <c r="Y9" i="11" s="1"/>
  <c r="Q9" i="11"/>
  <c r="O9" i="11"/>
  <c r="S8" i="11"/>
  <c r="Y8" i="11" s="1"/>
  <c r="Q8" i="11"/>
  <c r="O8" i="11"/>
  <c r="Q7" i="11"/>
  <c r="O7" i="11"/>
  <c r="S6" i="11"/>
  <c r="Y6" i="11" s="1"/>
  <c r="Q6" i="11"/>
  <c r="O6" i="11"/>
  <c r="Q5" i="11"/>
  <c r="O5" i="11"/>
  <c r="F32" i="7"/>
  <c r="G32" i="7" s="1"/>
  <c r="K30" i="7"/>
  <c r="L30" i="7" s="1"/>
  <c r="L31" i="7" s="1"/>
  <c r="D33" i="7"/>
  <c r="H16" i="7"/>
  <c r="D21" i="7"/>
  <c r="E21" i="7"/>
  <c r="E27" i="7" s="1"/>
  <c r="P27" i="7" s="1"/>
  <c r="S20" i="10"/>
  <c r="Q20" i="10"/>
  <c r="O20" i="10"/>
  <c r="S19" i="10"/>
  <c r="Q19" i="10"/>
  <c r="O19" i="10"/>
  <c r="S18" i="10"/>
  <c r="Q18" i="10"/>
  <c r="O18" i="10"/>
  <c r="S17" i="10"/>
  <c r="Q17" i="10"/>
  <c r="O17" i="10"/>
  <c r="S16" i="10"/>
  <c r="Q16" i="10"/>
  <c r="O16" i="10"/>
  <c r="S15" i="10"/>
  <c r="Q15" i="10"/>
  <c r="O15" i="10"/>
  <c r="S14" i="10"/>
  <c r="Q14" i="10"/>
  <c r="O14" i="10"/>
  <c r="S13" i="10"/>
  <c r="Q13" i="10"/>
  <c r="O13" i="10"/>
  <c r="S12" i="10"/>
  <c r="Q12" i="10"/>
  <c r="O12" i="10"/>
  <c r="S11" i="10"/>
  <c r="Q11" i="10"/>
  <c r="O11" i="10"/>
  <c r="S10" i="10"/>
  <c r="Q10" i="10"/>
  <c r="O10" i="10"/>
  <c r="S9" i="10"/>
  <c r="Q9" i="10"/>
  <c r="O9" i="10"/>
  <c r="S8" i="10"/>
  <c r="Q8" i="10"/>
  <c r="O8" i="10"/>
  <c r="S7" i="10"/>
  <c r="Q7" i="10"/>
  <c r="O7" i="10"/>
  <c r="S6" i="10"/>
  <c r="Q6" i="10"/>
  <c r="O6" i="10"/>
  <c r="S5" i="10"/>
  <c r="Q5" i="10"/>
  <c r="O5" i="10"/>
  <c r="S16" i="9"/>
  <c r="Q16" i="9"/>
  <c r="O16" i="9"/>
  <c r="S15" i="9"/>
  <c r="Q15" i="9"/>
  <c r="O15" i="9"/>
  <c r="S14" i="9"/>
  <c r="Q14" i="9"/>
  <c r="O14" i="9"/>
  <c r="S13" i="9"/>
  <c r="Q13" i="9"/>
  <c r="O13" i="9"/>
  <c r="S12" i="9"/>
  <c r="Q12" i="9"/>
  <c r="O12" i="9"/>
  <c r="S11" i="9"/>
  <c r="Q11" i="9"/>
  <c r="O11" i="9"/>
  <c r="S10" i="9"/>
  <c r="Q10" i="9"/>
  <c r="O10" i="9"/>
  <c r="S9" i="9"/>
  <c r="Q9" i="9"/>
  <c r="O9" i="9"/>
  <c r="S8" i="9"/>
  <c r="Q8" i="9"/>
  <c r="O8" i="9"/>
  <c r="S7" i="9"/>
  <c r="Q7" i="9"/>
  <c r="O7" i="9"/>
  <c r="S6" i="9"/>
  <c r="Q6" i="9"/>
  <c r="O6" i="9"/>
  <c r="S5" i="9"/>
  <c r="Q5" i="9"/>
  <c r="O5" i="9"/>
  <c r="S20" i="8"/>
  <c r="Q20" i="8"/>
  <c r="O20" i="8"/>
  <c r="S19" i="8"/>
  <c r="Q19" i="8"/>
  <c r="O19" i="8"/>
  <c r="S18" i="8"/>
  <c r="Q18" i="8"/>
  <c r="O18" i="8"/>
  <c r="S17" i="8"/>
  <c r="Q17" i="8"/>
  <c r="O17" i="8"/>
  <c r="S16" i="8"/>
  <c r="Q16" i="8"/>
  <c r="O16" i="8"/>
  <c r="S15" i="8"/>
  <c r="Q15" i="8"/>
  <c r="O15" i="8"/>
  <c r="S14" i="8"/>
  <c r="Q14" i="8"/>
  <c r="O14" i="8"/>
  <c r="S13" i="8"/>
  <c r="Q13" i="8"/>
  <c r="O13" i="8"/>
  <c r="S12" i="8"/>
  <c r="Q12" i="8"/>
  <c r="O12" i="8"/>
  <c r="S11" i="8"/>
  <c r="Q11" i="8"/>
  <c r="O11" i="8"/>
  <c r="S10" i="8"/>
  <c r="Q10" i="8"/>
  <c r="O10" i="8"/>
  <c r="S9" i="8"/>
  <c r="Q9" i="8"/>
  <c r="O9" i="8"/>
  <c r="S8" i="8"/>
  <c r="Q8" i="8"/>
  <c r="O8" i="8"/>
  <c r="S7" i="8"/>
  <c r="Q7" i="8"/>
  <c r="O7" i="8"/>
  <c r="S6" i="8"/>
  <c r="Q6" i="8"/>
  <c r="O6" i="8"/>
  <c r="S5" i="8"/>
  <c r="Q5" i="8"/>
  <c r="O5" i="8"/>
  <c r="K29" i="2"/>
  <c r="J29" i="2"/>
  <c r="I29" i="2" s="1"/>
  <c r="H29" i="2" s="1"/>
  <c r="G29" i="2"/>
  <c r="F29" i="2" s="1"/>
  <c r="E29" i="2" s="1"/>
  <c r="D29" i="2" s="1"/>
  <c r="N39" i="2"/>
  <c r="B29" i="4"/>
  <c r="C29" i="4" s="1"/>
  <c r="D29" i="4" s="1"/>
  <c r="E29" i="4" s="1"/>
  <c r="F29" i="4" s="1"/>
  <c r="B27" i="4"/>
  <c r="C27" i="4" s="1"/>
  <c r="D27" i="4" s="1"/>
  <c r="E27" i="4" s="1"/>
  <c r="F27" i="4" s="1"/>
  <c r="C9" i="4"/>
  <c r="D9" i="4"/>
  <c r="E9" i="4" s="1"/>
  <c r="F9" i="4" s="1"/>
  <c r="W6" i="6"/>
  <c r="W7" i="6"/>
  <c r="W8" i="6"/>
  <c r="W9" i="6"/>
  <c r="W10" i="6" s="1"/>
  <c r="W11" i="6"/>
  <c r="W12" i="6" s="1"/>
  <c r="W13" i="6" s="1"/>
  <c r="W14" i="6" s="1"/>
  <c r="W15" i="6" s="1"/>
  <c r="O7" i="4"/>
  <c r="P7" i="4" s="1"/>
  <c r="N7" i="4"/>
  <c r="O6" i="4"/>
  <c r="P6" i="4" s="1"/>
  <c r="N6" i="4"/>
  <c r="O5" i="4"/>
  <c r="P5" i="4" s="1"/>
  <c r="N5" i="4"/>
  <c r="O4" i="4"/>
  <c r="P4" i="4" s="1"/>
  <c r="N4" i="4"/>
  <c r="O3" i="4"/>
  <c r="P3" i="4"/>
  <c r="N3" i="4"/>
  <c r="S15" i="6"/>
  <c r="Q15" i="6"/>
  <c r="O15" i="6"/>
  <c r="S14" i="6"/>
  <c r="Q14" i="6"/>
  <c r="O14" i="6"/>
  <c r="S13" i="6"/>
  <c r="Q13" i="6"/>
  <c r="O13" i="6"/>
  <c r="S12" i="6"/>
  <c r="Q12" i="6"/>
  <c r="O12" i="6"/>
  <c r="S11" i="6"/>
  <c r="Q11" i="6"/>
  <c r="O11" i="6"/>
  <c r="S10" i="6"/>
  <c r="Q10" i="6"/>
  <c r="O10" i="6"/>
  <c r="S9" i="6"/>
  <c r="Q9" i="6"/>
  <c r="O9" i="6"/>
  <c r="S8" i="6"/>
  <c r="Q8" i="6"/>
  <c r="O8" i="6"/>
  <c r="S7" i="6"/>
  <c r="Q7" i="6"/>
  <c r="O7" i="6"/>
  <c r="S6" i="6"/>
  <c r="Q6" i="6"/>
  <c r="O6" i="6"/>
  <c r="S5" i="6"/>
  <c r="Q5" i="6"/>
  <c r="O5" i="6"/>
  <c r="C3" i="5"/>
  <c r="L3" i="5"/>
  <c r="M34" i="5"/>
  <c r="M33" i="5"/>
  <c r="M26" i="5"/>
  <c r="M27" i="5"/>
  <c r="M28" i="5"/>
  <c r="M29" i="5"/>
  <c r="M30" i="5"/>
  <c r="M31" i="5"/>
  <c r="M32" i="5"/>
  <c r="M35" i="5"/>
  <c r="M36" i="5"/>
  <c r="M37" i="5"/>
  <c r="M25" i="5"/>
  <c r="H41" i="5"/>
  <c r="I41" i="5"/>
  <c r="J41" i="5"/>
  <c r="K29" i="5" s="1"/>
  <c r="L41" i="5"/>
  <c r="E29" i="5"/>
  <c r="F29" i="5" s="1"/>
  <c r="G29" i="5" s="1"/>
  <c r="E30" i="5"/>
  <c r="E31" i="5"/>
  <c r="E32" i="5" s="1"/>
  <c r="E33" i="5" s="1"/>
  <c r="E34" i="5" s="1"/>
  <c r="E35" i="5" s="1"/>
  <c r="E36" i="5" s="1"/>
  <c r="E37" i="5" s="1"/>
  <c r="F37" i="5" s="1"/>
  <c r="B25" i="5"/>
  <c r="B26" i="5" s="1"/>
  <c r="L26" i="5" s="1"/>
  <c r="B27" i="5"/>
  <c r="L27" i="5" s="1"/>
  <c r="B28" i="5"/>
  <c r="L28" i="5" s="1"/>
  <c r="J24" i="5"/>
  <c r="L24" i="5"/>
  <c r="J3" i="5"/>
  <c r="N23" i="2"/>
  <c r="L22" i="2"/>
  <c r="K21" i="2"/>
  <c r="L21" i="2"/>
  <c r="N21" i="2" s="1"/>
  <c r="J20" i="2"/>
  <c r="K20" i="2"/>
  <c r="L20" i="2" s="1"/>
  <c r="L7" i="2"/>
  <c r="N7" i="2" s="1"/>
  <c r="K6" i="2"/>
  <c r="L6" i="2"/>
  <c r="J5" i="2"/>
  <c r="K5" i="2"/>
  <c r="L5" i="2" s="1"/>
  <c r="N5" i="2"/>
  <c r="B4" i="5"/>
  <c r="M21" i="2"/>
  <c r="M7" i="2"/>
  <c r="D25" i="4"/>
  <c r="E25" i="4"/>
  <c r="F25" i="4" s="1"/>
  <c r="D23" i="4"/>
  <c r="E23" i="4" s="1"/>
  <c r="F23" i="4" s="1"/>
  <c r="D2" i="4"/>
  <c r="E2" i="4" s="1"/>
  <c r="F2" i="4" s="1"/>
  <c r="G19" i="4"/>
  <c r="L25" i="5"/>
  <c r="F25" i="5"/>
  <c r="I25" i="5" s="1"/>
  <c r="J25" i="5" s="1"/>
  <c r="H25" i="5"/>
  <c r="K25" i="5"/>
  <c r="F26" i="5"/>
  <c r="B26" i="1"/>
  <c r="L84" i="1" s="1"/>
  <c r="F58" i="1"/>
  <c r="F27" i="5"/>
  <c r="H27" i="5" s="1"/>
  <c r="G26" i="5"/>
  <c r="I26" i="5"/>
  <c r="J26" i="5" s="1"/>
  <c r="H26" i="5"/>
  <c r="F28" i="5"/>
  <c r="G27" i="5"/>
  <c r="I27" i="5"/>
  <c r="J27" i="5" s="1"/>
  <c r="H28" i="5"/>
  <c r="G28" i="5"/>
  <c r="B14" i="2"/>
  <c r="F19" i="7" s="1"/>
  <c r="H33" i="7"/>
  <c r="C14" i="2"/>
  <c r="D14" i="2"/>
  <c r="J33" i="7" s="1"/>
  <c r="E14" i="2"/>
  <c r="F14" i="2"/>
  <c r="L33" i="7"/>
  <c r="G14" i="2"/>
  <c r="H14" i="2"/>
  <c r="I14" i="2"/>
  <c r="J14" i="2"/>
  <c r="K14" i="2"/>
  <c r="B15" i="2"/>
  <c r="H32" i="7" s="1"/>
  <c r="C15" i="2"/>
  <c r="I32" i="7"/>
  <c r="D15" i="2"/>
  <c r="J32" i="7" s="1"/>
  <c r="E15" i="2"/>
  <c r="K32" i="7"/>
  <c r="F15" i="2"/>
  <c r="G15" i="2"/>
  <c r="H15" i="2"/>
  <c r="I15" i="2"/>
  <c r="J15" i="2"/>
  <c r="K15" i="2"/>
  <c r="L15" i="2"/>
  <c r="N15" i="2"/>
  <c r="M15" i="2" s="1"/>
  <c r="B16" i="2"/>
  <c r="H31" i="7"/>
  <c r="C16" i="2"/>
  <c r="I31" i="7"/>
  <c r="D16" i="2"/>
  <c r="J31" i="7"/>
  <c r="E16" i="2"/>
  <c r="K31" i="7"/>
  <c r="F16" i="2"/>
  <c r="G16" i="2"/>
  <c r="H16" i="2"/>
  <c r="I16" i="2"/>
  <c r="J16" i="2"/>
  <c r="K16" i="2"/>
  <c r="L16" i="2"/>
  <c r="N16" i="2"/>
  <c r="B17" i="2"/>
  <c r="C17" i="2"/>
  <c r="D17" i="2"/>
  <c r="E17" i="2"/>
  <c r="F17" i="2"/>
  <c r="G17" i="2"/>
  <c r="H17" i="2"/>
  <c r="I17" i="2"/>
  <c r="J17" i="2"/>
  <c r="K17" i="2"/>
  <c r="L17" i="2"/>
  <c r="N17" i="2"/>
  <c r="C13" i="2"/>
  <c r="D13" i="2"/>
  <c r="E13" i="2"/>
  <c r="I25" i="7" s="1"/>
  <c r="F13" i="2"/>
  <c r="G13" i="2"/>
  <c r="I13" i="2"/>
  <c r="J13" i="2"/>
  <c r="K13" i="2"/>
  <c r="L13" i="2"/>
  <c r="N13" i="2"/>
  <c r="Q27" i="7" s="1"/>
  <c r="B13" i="2"/>
  <c r="F18" i="7" s="1"/>
  <c r="M16" i="2"/>
  <c r="M13" i="2"/>
  <c r="M17" i="2"/>
  <c r="O24" i="7"/>
  <c r="O25" i="7"/>
  <c r="C4" i="5"/>
  <c r="L4" i="5" s="1"/>
  <c r="G24" i="7"/>
  <c r="G27" i="7"/>
  <c r="F20" i="7"/>
  <c r="F21" i="7" s="1"/>
  <c r="N24" i="7"/>
  <c r="J24" i="7"/>
  <c r="J25" i="7"/>
  <c r="Q24" i="7"/>
  <c r="K24" i="7"/>
  <c r="K27" i="7"/>
  <c r="M24" i="7"/>
  <c r="I24" i="7"/>
  <c r="I19" i="7"/>
  <c r="I18" i="7"/>
  <c r="P24" i="7"/>
  <c r="P25" i="7"/>
  <c r="L24" i="7"/>
  <c r="H24" i="7"/>
  <c r="H19" i="7"/>
  <c r="H27" i="7"/>
  <c r="H18" i="7"/>
  <c r="H21" i="7"/>
  <c r="H25" i="7"/>
  <c r="B28" i="1"/>
  <c r="D48" i="1" s="1"/>
  <c r="H29" i="5"/>
  <c r="F30" i="5"/>
  <c r="H30" i="5"/>
  <c r="G30" i="5"/>
  <c r="B67" i="1"/>
  <c r="F32" i="5"/>
  <c r="H32" i="5"/>
  <c r="C39" i="1"/>
  <c r="C41" i="1" s="1"/>
  <c r="G21" i="7" l="1"/>
  <c r="H37" i="5"/>
  <c r="G37" i="5"/>
  <c r="N25" i="7"/>
  <c r="L25" i="7"/>
  <c r="F36" i="5"/>
  <c r="F33" i="5"/>
  <c r="F31" i="5"/>
  <c r="N27" i="7"/>
  <c r="J27" i="7"/>
  <c r="B29" i="5"/>
  <c r="I28" i="5"/>
  <c r="J28" i="5" s="1"/>
  <c r="F35" i="5"/>
  <c r="O27" i="7"/>
  <c r="M27" i="7"/>
  <c r="I27" i="7"/>
  <c r="I21" i="7"/>
  <c r="N20" i="2"/>
  <c r="M20" i="2"/>
  <c r="N22" i="2"/>
  <c r="M22" i="2"/>
  <c r="F51" i="1"/>
  <c r="F52" i="1" s="1"/>
  <c r="C29" i="2"/>
  <c r="B29" i="2" s="1"/>
  <c r="K17" i="7"/>
  <c r="J16" i="7"/>
  <c r="J18" i="7" s="1"/>
  <c r="K37" i="5"/>
  <c r="K26" i="5"/>
  <c r="K28" i="5"/>
  <c r="K24" i="5"/>
  <c r="K27" i="5"/>
  <c r="L32" i="7"/>
  <c r="M30" i="7"/>
  <c r="F34" i="5"/>
  <c r="K32" i="5"/>
  <c r="K30" i="5"/>
  <c r="L27" i="7"/>
  <c r="M25" i="7"/>
  <c r="Q25" i="7"/>
  <c r="K25" i="7"/>
  <c r="G18" i="7"/>
  <c r="G25" i="7"/>
  <c r="D4" i="5"/>
  <c r="E4" i="5" s="1"/>
  <c r="F4" i="5" s="1"/>
  <c r="I4" i="5" s="1"/>
  <c r="J4" i="5" s="1"/>
  <c r="B5" i="5"/>
  <c r="L14" i="2"/>
  <c r="N6" i="2"/>
  <c r="F33" i="7"/>
  <c r="G33" i="7" s="1"/>
  <c r="I33" i="7"/>
  <c r="K33" i="7"/>
  <c r="D34" i="7"/>
  <c r="M5" i="2"/>
  <c r="L67" i="1"/>
  <c r="E20" i="7"/>
  <c r="I20" i="7" s="1"/>
  <c r="B96" i="1"/>
  <c r="G95" i="1"/>
  <c r="L95" i="1" s="1"/>
  <c r="B89" i="1"/>
  <c r="G90" i="1"/>
  <c r="L90" i="1" s="1"/>
  <c r="B23" i="1"/>
  <c r="F150" i="1" s="1"/>
  <c r="G16" i="7"/>
  <c r="B150" i="1"/>
  <c r="G149" i="1"/>
  <c r="L149" i="1" s="1"/>
  <c r="G148" i="1"/>
  <c r="L148" i="1" s="1"/>
  <c r="F3" i="4"/>
  <c r="P13" i="4"/>
  <c r="E8" i="4"/>
  <c r="F7" i="4"/>
  <c r="F16" i="4" s="1"/>
  <c r="Q18" i="4" s="1"/>
  <c r="B35" i="4"/>
  <c r="B36" i="4" s="1"/>
  <c r="E7" i="4"/>
  <c r="E16" i="4" s="1"/>
  <c r="P18" i="4" s="1"/>
  <c r="C35" i="4"/>
  <c r="C36" i="4" s="1"/>
  <c r="D35" i="4"/>
  <c r="D36" i="4" s="1"/>
  <c r="B44" i="4"/>
  <c r="M18" i="4"/>
  <c r="O18" i="4"/>
  <c r="E35" i="4"/>
  <c r="E36" i="4" s="1"/>
  <c r="B4" i="4"/>
  <c r="M14" i="4" s="1"/>
  <c r="F35" i="4"/>
  <c r="F36" i="4" s="1"/>
  <c r="D52" i="4"/>
  <c r="D39" i="4"/>
  <c r="O20" i="4" s="1"/>
  <c r="D4" i="4"/>
  <c r="O14" i="4" s="1"/>
  <c r="D48" i="4"/>
  <c r="B39" i="4"/>
  <c r="M20" i="4" s="1"/>
  <c r="B52" i="4"/>
  <c r="H4" i="5"/>
  <c r="M17" i="4"/>
  <c r="A43" i="1"/>
  <c r="A93" i="1"/>
  <c r="F93" i="1" s="1"/>
  <c r="K93" i="1" s="1"/>
  <c r="A94" i="1"/>
  <c r="F94" i="1" s="1"/>
  <c r="K94" i="1" s="1"/>
  <c r="A95" i="1"/>
  <c r="F95" i="1" s="1"/>
  <c r="K95" i="1" s="1"/>
  <c r="A90" i="1"/>
  <c r="F90" i="1" s="1"/>
  <c r="K90" i="1" s="1"/>
  <c r="A91" i="1"/>
  <c r="F91" i="1" s="1"/>
  <c r="K91" i="1" s="1"/>
  <c r="A96" i="1"/>
  <c r="F96" i="1" s="1"/>
  <c r="K96" i="1" s="1"/>
  <c r="C46" i="1"/>
  <c r="B22" i="1"/>
  <c r="A92" i="1"/>
  <c r="F92" i="1" s="1"/>
  <c r="K92" i="1" s="1"/>
  <c r="N15" i="4"/>
  <c r="C39" i="4"/>
  <c r="N20" i="4" s="1"/>
  <c r="C44" i="4"/>
  <c r="C48" i="4"/>
  <c r="C17" i="4"/>
  <c r="C4" i="4"/>
  <c r="C5" i="4" s="1"/>
  <c r="C52" i="4"/>
  <c r="B48" i="4"/>
  <c r="M15" i="4"/>
  <c r="D44" i="4"/>
  <c r="O15" i="4"/>
  <c r="D39" i="1"/>
  <c r="D41" i="1" s="1"/>
  <c r="D52" i="1" s="1"/>
  <c r="F48" i="1"/>
  <c r="F148" i="1" l="1"/>
  <c r="C44" i="1"/>
  <c r="F147" i="1"/>
  <c r="F149" i="1"/>
  <c r="B88" i="1"/>
  <c r="G89" i="1"/>
  <c r="L89" i="1" s="1"/>
  <c r="N30" i="7"/>
  <c r="M32" i="7"/>
  <c r="M31" i="7"/>
  <c r="L17" i="7"/>
  <c r="K16" i="7"/>
  <c r="G31" i="5"/>
  <c r="H31" i="5"/>
  <c r="K31" i="5" s="1"/>
  <c r="G20" i="7"/>
  <c r="G19" i="7"/>
  <c r="M33" i="7"/>
  <c r="B6" i="5"/>
  <c r="C5" i="5"/>
  <c r="D5" i="5"/>
  <c r="E5" i="5" s="1"/>
  <c r="B30" i="5"/>
  <c r="L29" i="5"/>
  <c r="I29" i="5"/>
  <c r="J29" i="5" s="1"/>
  <c r="G33" i="5"/>
  <c r="H33" i="5"/>
  <c r="K33" i="5" s="1"/>
  <c r="G41" i="5"/>
  <c r="B97" i="1"/>
  <c r="G96" i="1"/>
  <c r="L96" i="1" s="1"/>
  <c r="F34" i="7"/>
  <c r="K34" i="7"/>
  <c r="M34" i="7"/>
  <c r="G34" i="7"/>
  <c r="H34" i="7"/>
  <c r="L34" i="7"/>
  <c r="I34" i="7"/>
  <c r="J34" i="7"/>
  <c r="J38" i="7" s="1"/>
  <c r="H34" i="5"/>
  <c r="K34" i="5" s="1"/>
  <c r="G34" i="5"/>
  <c r="A89" i="1"/>
  <c r="F89" i="1" s="1"/>
  <c r="K89" i="1" s="1"/>
  <c r="E26" i="7"/>
  <c r="H20" i="7"/>
  <c r="M6" i="2"/>
  <c r="N14" i="2"/>
  <c r="M14" i="2" s="1"/>
  <c r="J20" i="7"/>
  <c r="J19" i="7"/>
  <c r="J21" i="7"/>
  <c r="H35" i="5"/>
  <c r="K35" i="5" s="1"/>
  <c r="G35" i="5"/>
  <c r="G36" i="5"/>
  <c r="H36" i="5"/>
  <c r="K36" i="5" s="1"/>
  <c r="G32" i="5"/>
  <c r="G150" i="1"/>
  <c r="L150" i="1" s="1"/>
  <c r="B151" i="1"/>
  <c r="E52" i="4"/>
  <c r="E4" i="4"/>
  <c r="P14" i="4" s="1"/>
  <c r="E48" i="4"/>
  <c r="E39" i="4"/>
  <c r="P20" i="4" s="1"/>
  <c r="E44" i="4"/>
  <c r="P15" i="4"/>
  <c r="F39" i="4"/>
  <c r="Q20" i="4" s="1"/>
  <c r="Q15" i="4"/>
  <c r="F44" i="4"/>
  <c r="F48" i="4"/>
  <c r="F17" i="4"/>
  <c r="F32" i="4" s="1"/>
  <c r="F52" i="4"/>
  <c r="Q13" i="4"/>
  <c r="F8" i="4"/>
  <c r="F4" i="4" s="1"/>
  <c r="F5" i="4" s="1"/>
  <c r="B17" i="4"/>
  <c r="B32" i="4" s="1"/>
  <c r="B33" i="4" s="1"/>
  <c r="B51" i="4" s="1"/>
  <c r="B53" i="4" s="1"/>
  <c r="D17" i="4"/>
  <c r="D32" i="4" s="1"/>
  <c r="D33" i="4" s="1"/>
  <c r="D43" i="4" s="1"/>
  <c r="D45" i="4" s="1"/>
  <c r="B5" i="4"/>
  <c r="D5" i="4"/>
  <c r="E17" i="4"/>
  <c r="E32" i="4" s="1"/>
  <c r="E46" i="1"/>
  <c r="E47" i="1" s="1"/>
  <c r="C47" i="1"/>
  <c r="N18" i="4"/>
  <c r="C32" i="4"/>
  <c r="C33" i="4" s="1"/>
  <c r="C43" i="4" s="1"/>
  <c r="C45" i="4" s="1"/>
  <c r="N14" i="4"/>
  <c r="E44" i="1"/>
  <c r="K20" i="7" l="1"/>
  <c r="K19" i="7"/>
  <c r="K18" i="7"/>
  <c r="K21" i="7"/>
  <c r="B7" i="5"/>
  <c r="C6" i="5"/>
  <c r="D6" i="5"/>
  <c r="E6" i="5" s="1"/>
  <c r="F6" i="5" s="1"/>
  <c r="M17" i="7"/>
  <c r="L16" i="7"/>
  <c r="M5" i="5"/>
  <c r="L5" i="5"/>
  <c r="O30" i="7"/>
  <c r="N32" i="7"/>
  <c r="N31" i="7"/>
  <c r="N33" i="7"/>
  <c r="N34" i="7"/>
  <c r="L30" i="5"/>
  <c r="B31" i="5"/>
  <c r="I30" i="5"/>
  <c r="J30" i="5" s="1"/>
  <c r="H26" i="7"/>
  <c r="G26" i="7"/>
  <c r="J26" i="7"/>
  <c r="P26" i="7"/>
  <c r="Q26" i="7"/>
  <c r="M26" i="7"/>
  <c r="L26" i="7"/>
  <c r="N26" i="7"/>
  <c r="K26" i="7"/>
  <c r="I26" i="7"/>
  <c r="O26" i="7"/>
  <c r="G97" i="1"/>
  <c r="L97" i="1" s="1"/>
  <c r="A97" i="1"/>
  <c r="F97" i="1" s="1"/>
  <c r="K97" i="1" s="1"/>
  <c r="F5" i="5"/>
  <c r="G88" i="1"/>
  <c r="L88" i="1" s="1"/>
  <c r="B87" i="1"/>
  <c r="A88" i="1"/>
  <c r="F88" i="1" s="1"/>
  <c r="K88" i="1" s="1"/>
  <c r="B152" i="1"/>
  <c r="G151" i="1"/>
  <c r="L151" i="1" s="1"/>
  <c r="F151" i="1"/>
  <c r="E5" i="4"/>
  <c r="E33" i="4"/>
  <c r="E51" i="4" s="1"/>
  <c r="E53" i="4" s="1"/>
  <c r="F33" i="4"/>
  <c r="F43" i="4" s="1"/>
  <c r="F45" i="4" s="1"/>
  <c r="Q14" i="4"/>
  <c r="B38" i="4"/>
  <c r="M19" i="4" s="1"/>
  <c r="M21" i="4" s="1"/>
  <c r="B43" i="4"/>
  <c r="B45" i="4" s="1"/>
  <c r="B47" i="4"/>
  <c r="B49" i="4" s="1"/>
  <c r="D38" i="4"/>
  <c r="D40" i="4" s="1"/>
  <c r="D47" i="4"/>
  <c r="D49" i="4" s="1"/>
  <c r="D51" i="4"/>
  <c r="D53" i="4" s="1"/>
  <c r="F51" i="4"/>
  <c r="F53" i="4" s="1"/>
  <c r="C47" i="4"/>
  <c r="C49" i="4" s="1"/>
  <c r="C38" i="4"/>
  <c r="C51" i="4"/>
  <c r="C53" i="4" s="1"/>
  <c r="G87" i="1" l="1"/>
  <c r="L87" i="1" s="1"/>
  <c r="A87" i="1"/>
  <c r="F87" i="1" s="1"/>
  <c r="K87" i="1" s="1"/>
  <c r="G6" i="5"/>
  <c r="I6" i="5"/>
  <c r="J6" i="5" s="1"/>
  <c r="H6" i="5"/>
  <c r="B32" i="5"/>
  <c r="L31" i="5"/>
  <c r="I31" i="5"/>
  <c r="J31" i="5" s="1"/>
  <c r="L6" i="5"/>
  <c r="M6" i="5"/>
  <c r="H5" i="5"/>
  <c r="I5" i="5"/>
  <c r="J5" i="5" s="1"/>
  <c r="G5" i="5"/>
  <c r="L19" i="7"/>
  <c r="L21" i="7"/>
  <c r="L18" i="7"/>
  <c r="L20" i="7"/>
  <c r="D7" i="5"/>
  <c r="E7" i="5" s="1"/>
  <c r="B8" i="5"/>
  <c r="C7" i="5"/>
  <c r="P30" i="7"/>
  <c r="O31" i="7"/>
  <c r="O32" i="7"/>
  <c r="O33" i="7"/>
  <c r="O34" i="7"/>
  <c r="M16" i="7"/>
  <c r="N17" i="7"/>
  <c r="E58" i="1"/>
  <c r="I8" i="1" s="1"/>
  <c r="F47" i="4"/>
  <c r="F49" i="4" s="1"/>
  <c r="B153" i="1"/>
  <c r="G152" i="1"/>
  <c r="L152" i="1" s="1"/>
  <c r="F152" i="1"/>
  <c r="E38" i="4"/>
  <c r="E40" i="4" s="1"/>
  <c r="E47" i="4"/>
  <c r="E49" i="4" s="1"/>
  <c r="E43" i="4"/>
  <c r="E45" i="4" s="1"/>
  <c r="E56" i="1" s="1"/>
  <c r="F38" i="4"/>
  <c r="Q19" i="4" s="1"/>
  <c r="Q21" i="4" s="1"/>
  <c r="B40" i="4"/>
  <c r="O19" i="4"/>
  <c r="O21" i="4" s="1"/>
  <c r="N19" i="4"/>
  <c r="N21" i="4" s="1"/>
  <c r="C40" i="4"/>
  <c r="L7" i="5" l="1"/>
  <c r="M7" i="5"/>
  <c r="N16" i="7"/>
  <c r="O17" i="7"/>
  <c r="B9" i="5"/>
  <c r="D8" i="5"/>
  <c r="E8" i="5" s="1"/>
  <c r="F8" i="5" s="1"/>
  <c r="C8" i="5"/>
  <c r="M19" i="7"/>
  <c r="M21" i="7"/>
  <c r="M20" i="7"/>
  <c r="M18" i="7"/>
  <c r="F7" i="5"/>
  <c r="B33" i="5"/>
  <c r="L32" i="5"/>
  <c r="I32" i="5"/>
  <c r="J32" i="5" s="1"/>
  <c r="T38" i="7"/>
  <c r="E38" i="7" s="1"/>
  <c r="O40" i="7"/>
  <c r="Q30" i="7"/>
  <c r="P33" i="7"/>
  <c r="P31" i="7"/>
  <c r="P32" i="7"/>
  <c r="P34" i="7"/>
  <c r="X40" i="7" s="1"/>
  <c r="E57" i="1"/>
  <c r="F7" i="1" s="1"/>
  <c r="I129" i="1" s="1"/>
  <c r="F8" i="1"/>
  <c r="N103" i="1" s="1"/>
  <c r="D8" i="1"/>
  <c r="I6" i="1"/>
  <c r="C6" i="1"/>
  <c r="F6" i="1"/>
  <c r="D103" i="1" s="1"/>
  <c r="C8" i="1"/>
  <c r="C7" i="1"/>
  <c r="E8" i="1"/>
  <c r="M103" i="1" s="1"/>
  <c r="E7" i="1"/>
  <c r="H103" i="1" s="1"/>
  <c r="E6" i="1"/>
  <c r="C86" i="1" s="1"/>
  <c r="D6" i="1"/>
  <c r="P19" i="4"/>
  <c r="P21" i="4" s="1"/>
  <c r="B154" i="1"/>
  <c r="G153" i="1"/>
  <c r="L153" i="1" s="1"/>
  <c r="F153" i="1"/>
  <c r="F40" i="4"/>
  <c r="P17" i="7" l="1"/>
  <c r="O16" i="7"/>
  <c r="R30" i="7"/>
  <c r="Q32" i="7"/>
  <c r="Q31" i="7"/>
  <c r="Q33" i="7"/>
  <c r="Q34" i="7"/>
  <c r="M8" i="5"/>
  <c r="L8" i="5"/>
  <c r="N19" i="7"/>
  <c r="N18" i="7"/>
  <c r="N20" i="7"/>
  <c r="N21" i="7"/>
  <c r="E40" i="7"/>
  <c r="B34" i="5"/>
  <c r="L33" i="5"/>
  <c r="I33" i="5"/>
  <c r="J33" i="5" s="1"/>
  <c r="H8" i="5"/>
  <c r="I8" i="5"/>
  <c r="J8" i="5" s="1"/>
  <c r="G8" i="5"/>
  <c r="G7" i="5"/>
  <c r="H7" i="5"/>
  <c r="I7" i="5"/>
  <c r="J7" i="5" s="1"/>
  <c r="C9" i="5"/>
  <c r="D9" i="5"/>
  <c r="E9" i="5" s="1"/>
  <c r="B10" i="5"/>
  <c r="I7" i="1"/>
  <c r="D7" i="1"/>
  <c r="N120" i="1"/>
  <c r="N69" i="1"/>
  <c r="N129" i="1"/>
  <c r="N146" i="1"/>
  <c r="N86" i="1"/>
  <c r="D146" i="1"/>
  <c r="D86" i="1"/>
  <c r="D129" i="1"/>
  <c r="D69" i="1"/>
  <c r="H86" i="1"/>
  <c r="D120" i="1"/>
  <c r="H69" i="1"/>
  <c r="H146" i="1"/>
  <c r="G8" i="1"/>
  <c r="H8" i="1" s="1"/>
  <c r="M69" i="1"/>
  <c r="G7" i="1"/>
  <c r="H7" i="1" s="1"/>
  <c r="M146" i="1"/>
  <c r="I120" i="1"/>
  <c r="I69" i="1"/>
  <c r="C120" i="1"/>
  <c r="G6" i="1"/>
  <c r="H6" i="1" s="1"/>
  <c r="H120" i="1"/>
  <c r="C146" i="1"/>
  <c r="I86" i="1"/>
  <c r="I146" i="1"/>
  <c r="I103" i="1"/>
  <c r="H129" i="1"/>
  <c r="C69" i="1"/>
  <c r="M120" i="1"/>
  <c r="M86" i="1"/>
  <c r="M129" i="1"/>
  <c r="C129" i="1"/>
  <c r="C103" i="1"/>
  <c r="G154" i="1"/>
  <c r="L154" i="1" s="1"/>
  <c r="B155" i="1"/>
  <c r="F154" i="1"/>
  <c r="B35" i="5" l="1"/>
  <c r="L34" i="5"/>
  <c r="I34" i="5"/>
  <c r="J34" i="5" s="1"/>
  <c r="S30" i="7"/>
  <c r="R31" i="7"/>
  <c r="R32" i="7"/>
  <c r="R33" i="7"/>
  <c r="R34" i="7"/>
  <c r="B11" i="5"/>
  <c r="C10" i="5"/>
  <c r="D10" i="5"/>
  <c r="E10" i="5" s="1"/>
  <c r="F10" i="5" s="1"/>
  <c r="O19" i="7"/>
  <c r="O18" i="7"/>
  <c r="O20" i="7"/>
  <c r="O21" i="7"/>
  <c r="L9" i="5"/>
  <c r="M9" i="5"/>
  <c r="F9" i="5"/>
  <c r="P16" i="7"/>
  <c r="Q17" i="7"/>
  <c r="Q16" i="7" s="1"/>
  <c r="G155" i="1"/>
  <c r="L155" i="1" s="1"/>
  <c r="B156" i="1"/>
  <c r="F155" i="1"/>
  <c r="P18" i="7" l="1"/>
  <c r="P21" i="7"/>
  <c r="P20" i="7"/>
  <c r="P19" i="7"/>
  <c r="H9" i="5"/>
  <c r="G9" i="5"/>
  <c r="I9" i="5"/>
  <c r="J9" i="5" s="1"/>
  <c r="M10" i="5"/>
  <c r="L10" i="5"/>
  <c r="G10" i="5"/>
  <c r="H10" i="5"/>
  <c r="I10" i="5"/>
  <c r="J10" i="5" s="1"/>
  <c r="B36" i="5"/>
  <c r="L35" i="5"/>
  <c r="I35" i="5"/>
  <c r="J35" i="5" s="1"/>
  <c r="C11" i="5"/>
  <c r="B12" i="5"/>
  <c r="D11" i="5"/>
  <c r="E11" i="5" s="1"/>
  <c r="Q18" i="7"/>
  <c r="Q20" i="7"/>
  <c r="Q19" i="7"/>
  <c r="Q21" i="7"/>
  <c r="T30" i="7"/>
  <c r="S31" i="7"/>
  <c r="S32" i="7"/>
  <c r="S33" i="7"/>
  <c r="S34" i="7"/>
  <c r="G156" i="1"/>
  <c r="L156" i="1" s="1"/>
  <c r="F156" i="1"/>
  <c r="U30" i="7" l="1"/>
  <c r="T32" i="7"/>
  <c r="T33" i="7"/>
  <c r="T31" i="7"/>
  <c r="T34" i="7"/>
  <c r="M11" i="5"/>
  <c r="L11" i="5"/>
  <c r="F11" i="5"/>
  <c r="C12" i="5"/>
  <c r="B13" i="5"/>
  <c r="D12" i="5"/>
  <c r="E12" i="5" s="1"/>
  <c r="F12" i="5" s="1"/>
  <c r="B37" i="5"/>
  <c r="L36" i="5"/>
  <c r="I36" i="5"/>
  <c r="J36" i="5" s="1"/>
  <c r="H12" i="5" l="1"/>
  <c r="I12" i="5"/>
  <c r="J12" i="5" s="1"/>
  <c r="G12" i="5"/>
  <c r="C13" i="5"/>
  <c r="B14" i="5"/>
  <c r="D13" i="5"/>
  <c r="E13" i="5" s="1"/>
  <c r="L12" i="5"/>
  <c r="M12" i="5"/>
  <c r="L37" i="5"/>
  <c r="I37" i="5"/>
  <c r="J37" i="5" s="1"/>
  <c r="H11" i="5"/>
  <c r="G11" i="5"/>
  <c r="I11" i="5"/>
  <c r="J11" i="5" s="1"/>
  <c r="V30" i="7"/>
  <c r="U32" i="7"/>
  <c r="U31" i="7"/>
  <c r="U33" i="7"/>
  <c r="U34" i="7"/>
  <c r="M13" i="5" l="1"/>
  <c r="L13" i="5"/>
  <c r="F13" i="5"/>
  <c r="V31" i="7"/>
  <c r="W30" i="7"/>
  <c r="V32" i="7"/>
  <c r="V33" i="7"/>
  <c r="V34" i="7"/>
  <c r="D14" i="5"/>
  <c r="E14" i="5" s="1"/>
  <c r="C14" i="5"/>
  <c r="B15" i="5"/>
  <c r="D15" i="5" l="1"/>
  <c r="E15" i="5" s="1"/>
  <c r="C15" i="5"/>
  <c r="I13" i="5"/>
  <c r="J13" i="5" s="1"/>
  <c r="H13" i="5"/>
  <c r="G13" i="5"/>
  <c r="L14" i="5"/>
  <c r="M14" i="5"/>
  <c r="F14" i="5"/>
  <c r="X30" i="7"/>
  <c r="W31" i="7"/>
  <c r="W33" i="7"/>
  <c r="W32" i="7"/>
  <c r="W34" i="7"/>
  <c r="L15" i="5" l="1"/>
  <c r="M15" i="5"/>
  <c r="G14" i="5"/>
  <c r="H14" i="5"/>
  <c r="I14" i="5"/>
  <c r="J14" i="5" s="1"/>
  <c r="X32" i="7"/>
  <c r="X31" i="7"/>
  <c r="Y30" i="7"/>
  <c r="X33" i="7"/>
  <c r="X34" i="7"/>
  <c r="F15" i="5"/>
  <c r="G15" i="5" l="1"/>
  <c r="H15" i="5"/>
  <c r="I15" i="5"/>
  <c r="J15" i="5" s="1"/>
  <c r="J19" i="5" s="1"/>
  <c r="Y32" i="7"/>
  <c r="Y31" i="7"/>
  <c r="Z30" i="7"/>
  <c r="Y33" i="7"/>
  <c r="Y34" i="7"/>
  <c r="K9" i="5" l="1"/>
  <c r="K15" i="5"/>
  <c r="K12" i="5"/>
  <c r="K5" i="5"/>
  <c r="K3" i="5"/>
  <c r="K8" i="5"/>
  <c r="K7" i="5"/>
  <c r="K11" i="5"/>
  <c r="K10" i="5"/>
  <c r="K13" i="5"/>
  <c r="K4" i="5"/>
  <c r="K6" i="5"/>
  <c r="K14" i="5"/>
  <c r="AA30" i="7"/>
  <c r="Z31" i="7"/>
  <c r="Z32" i="7"/>
  <c r="Z33" i="7"/>
  <c r="Z34" i="7"/>
  <c r="AA31" i="7" l="1"/>
  <c r="AA33" i="7"/>
  <c r="AA32" i="7"/>
  <c r="AA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Sandven</author>
  </authors>
  <commentList>
    <comment ref="B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Jakob Sandven:</t>
        </r>
        <r>
          <rPr>
            <sz val="9"/>
            <color indexed="81"/>
            <rFont val="Tahoma"/>
            <family val="2"/>
          </rPr>
          <t xml:space="preserve">
Estimert nyttbart volum av total volum.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Sandven</author>
  </authors>
  <commentList>
    <comment ref="F4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Jakob Sandven:</t>
        </r>
        <r>
          <rPr>
            <sz val="9"/>
            <color indexed="81"/>
            <rFont val="Tahoma"/>
            <family val="2"/>
          </rPr>
          <t xml:space="preserve">
Manual (Page 200)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Sandven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Jakob Sandven:</t>
        </r>
        <r>
          <rPr>
            <sz val="9"/>
            <color indexed="81"/>
            <rFont val="Tahoma"/>
            <family val="2"/>
          </rPr>
          <t xml:space="preserve">
The code use to identify the species in forest database</t>
        </r>
      </text>
    </comment>
    <comment ref="A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Jakob Sandven:</t>
        </r>
        <r>
          <rPr>
            <sz val="9"/>
            <color indexed="81"/>
            <rFont val="Tahoma"/>
            <family val="2"/>
          </rPr>
          <t xml:space="preserve">
Use Data "What if Analysis - Goal seek"</t>
        </r>
      </text>
    </comment>
    <comment ref="A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Jakob Sandven:</t>
        </r>
        <r>
          <rPr>
            <sz val="9"/>
            <color indexed="81"/>
            <rFont val="Tahoma"/>
            <family val="2"/>
          </rPr>
          <t xml:space="preserve">
Need to look at this</t>
        </r>
      </text>
    </comment>
  </commentList>
</comments>
</file>

<file path=xl/sharedStrings.xml><?xml version="1.0" encoding="utf-8"?>
<sst xmlns="http://schemas.openxmlformats.org/spreadsheetml/2006/main" count="427" uniqueCount="199">
  <si>
    <t>Nåsituasjon</t>
  </si>
  <si>
    <t>Bonitet</t>
  </si>
  <si>
    <t>Alder</t>
  </si>
  <si>
    <t>Slutthogstalder</t>
  </si>
  <si>
    <t>År til slutthogst</t>
  </si>
  <si>
    <t>Tømmerpriser</t>
  </si>
  <si>
    <t>Skur</t>
  </si>
  <si>
    <t>Masse</t>
  </si>
  <si>
    <t>Fordeling-normal</t>
  </si>
  <si>
    <t>Volum/daa ved slutthogst</t>
  </si>
  <si>
    <t>Uten beiting</t>
  </si>
  <si>
    <t>Rentefot 1</t>
  </si>
  <si>
    <t>Rentefot 2</t>
  </si>
  <si>
    <t>Rentefot 3</t>
  </si>
  <si>
    <t>kr/m3</t>
  </si>
  <si>
    <t>Driftskostnad-Slutthogst kr/m3</t>
  </si>
  <si>
    <t>Økonomisk konsekvens av elgbeiteskader</t>
  </si>
  <si>
    <t>Bonitet furu</t>
  </si>
  <si>
    <t>Hogstmodenhetsalder</t>
  </si>
  <si>
    <t>volum m bark før tynning m3/da ved hogstmodenhetsalder</t>
  </si>
  <si>
    <t>prod evne m3/daa/år</t>
  </si>
  <si>
    <t>Låst celle</t>
  </si>
  <si>
    <t>Fyll inn verdi</t>
  </si>
  <si>
    <t>Salgsvolum 80 % av prod tab</t>
  </si>
  <si>
    <t>Grunnverdi H40/daa</t>
  </si>
  <si>
    <t>Sagtømmerfordeling-beiteskade</t>
  </si>
  <si>
    <t>ca tall fra skoghåndboka - ikke korrekt interpollert, men godt nok</t>
  </si>
  <si>
    <t>trekker av 20 % for topp og bark - vol/daa</t>
  </si>
  <si>
    <t>Volum i dag</t>
  </si>
  <si>
    <t>Slakteverdi i dag med skade</t>
  </si>
  <si>
    <t xml:space="preserve">Nåverdier pr da avh. av kalk.rente, </t>
  </si>
  <si>
    <t>Sagtømmerandel</t>
  </si>
  <si>
    <t>Sagtømmer i dag</t>
  </si>
  <si>
    <t>Grunnverdi 3 %</t>
  </si>
  <si>
    <t>Grunnverdi 2,5 %</t>
  </si>
  <si>
    <t>Grunnverdi 4 %</t>
  </si>
  <si>
    <t>Differanse</t>
  </si>
  <si>
    <t>Driftskostnader</t>
  </si>
  <si>
    <t>Land Expectation Value (LEV)</t>
  </si>
  <si>
    <t>Species</t>
  </si>
  <si>
    <t>unit</t>
  </si>
  <si>
    <t>Net felled volume</t>
  </si>
  <si>
    <t>m3/ha</t>
  </si>
  <si>
    <t>Mean annual increment (MAI)</t>
  </si>
  <si>
    <t>m3/ha/yr</t>
  </si>
  <si>
    <t xml:space="preserve">Diameter </t>
  </si>
  <si>
    <t>Rotation age</t>
  </si>
  <si>
    <t>year</t>
  </si>
  <si>
    <t>Interest</t>
  </si>
  <si>
    <t>IRR</t>
  </si>
  <si>
    <t>Sawn timber price</t>
  </si>
  <si>
    <t>Pulp price</t>
  </si>
  <si>
    <t>Firewod</t>
  </si>
  <si>
    <t>Sawn timber percentage</t>
  </si>
  <si>
    <t xml:space="preserve">Pulp wood percentage </t>
  </si>
  <si>
    <t xml:space="preserve">Operational expenses </t>
  </si>
  <si>
    <t>Costs sale/adm</t>
  </si>
  <si>
    <t>Volume of thinning extraction</t>
  </si>
  <si>
    <t>Sawn timber % thinning</t>
  </si>
  <si>
    <t>Cost of thinning</t>
  </si>
  <si>
    <t>Time of thinning</t>
  </si>
  <si>
    <t>Cost of maintenance of young forest</t>
  </si>
  <si>
    <t>When</t>
  </si>
  <si>
    <t>Cost of planting</t>
  </si>
  <si>
    <t>per ha</t>
  </si>
  <si>
    <t>net price per m3 final felling</t>
  </si>
  <si>
    <t>total net final felling</t>
  </si>
  <si>
    <t>net price per m3 thinning</t>
  </si>
  <si>
    <t>net price total thinning</t>
  </si>
  <si>
    <t>value of first rotation</t>
  </si>
  <si>
    <t>infinite periodic payment</t>
  </si>
  <si>
    <t>NOK/m3</t>
  </si>
  <si>
    <t>Furu</t>
  </si>
  <si>
    <t xml:space="preserve">Site index </t>
  </si>
  <si>
    <t>NOK/ha</t>
  </si>
  <si>
    <t>Years</t>
  </si>
  <si>
    <t>Value per m3</t>
  </si>
  <si>
    <t>Site index</t>
  </si>
  <si>
    <t>Stumpage value per ha S(t)</t>
  </si>
  <si>
    <t>M3</t>
  </si>
  <si>
    <t>%</t>
  </si>
  <si>
    <t>Annual incremental change in stumpage value S(t)</t>
  </si>
  <si>
    <t>Annual interest on stumage value iS(t)</t>
  </si>
  <si>
    <t>Site Value Vs</t>
  </si>
  <si>
    <t>Land rente A</t>
  </si>
  <si>
    <t>Discount rate</t>
  </si>
  <si>
    <t>MAI(m3/ha/yr)</t>
  </si>
  <si>
    <t xml:space="preserve">CAI </t>
  </si>
  <si>
    <t xml:space="preserve">Annual incremental cost </t>
  </si>
  <si>
    <t>Produksjonstabell for furu</t>
  </si>
  <si>
    <t>Pr. Hektar med bark</t>
  </si>
  <si>
    <t>Bonitetsklasse F8</t>
  </si>
  <si>
    <t>2 tynninger</t>
  </si>
  <si>
    <t>Før tynning</t>
  </si>
  <si>
    <t>Tynning</t>
  </si>
  <si>
    <t>Etter tynning</t>
  </si>
  <si>
    <t>Total prod.</t>
  </si>
  <si>
    <t>ÅMT</t>
  </si>
  <si>
    <t>Løpende tilvekst</t>
  </si>
  <si>
    <t>Tt   (år)</t>
  </si>
  <si>
    <t>TBH     (år)</t>
  </si>
  <si>
    <t>Ho    (m)</t>
  </si>
  <si>
    <t>H     (m)</t>
  </si>
  <si>
    <t>D     (cm)</t>
  </si>
  <si>
    <t>N</t>
  </si>
  <si>
    <t>G     (m2)</t>
  </si>
  <si>
    <t>V     (m3)</t>
  </si>
  <si>
    <t>H    (m)</t>
  </si>
  <si>
    <t>VT    (m3)</t>
  </si>
  <si>
    <t>V     (m3/år)</t>
  </si>
  <si>
    <t>D     (mm/år)</t>
  </si>
  <si>
    <t>G     (m2/år)</t>
  </si>
  <si>
    <t>x</t>
  </si>
  <si>
    <t>NOK</t>
  </si>
  <si>
    <t>Beiterisiko etter hogst</t>
  </si>
  <si>
    <t>Hogst i dag</t>
  </si>
  <si>
    <t>Slakteverdi i dag uten skade</t>
  </si>
  <si>
    <t>Nyttbart volum</t>
  </si>
  <si>
    <t>ja</t>
  </si>
  <si>
    <t>Bonitetsklasse F17</t>
  </si>
  <si>
    <t>Bonitetsklasse F11</t>
  </si>
  <si>
    <t>Bonitetsklasse F14</t>
  </si>
  <si>
    <t>Bonitetsklasse F20</t>
  </si>
  <si>
    <t>Rente</t>
  </si>
  <si>
    <t>Bointet</t>
  </si>
  <si>
    <t>Harvest age</t>
  </si>
  <si>
    <t>Hogst grunna skade</t>
  </si>
  <si>
    <t>Ikke hogst</t>
  </si>
  <si>
    <t>Sagtømmer i dag (ikke skadd)</t>
  </si>
  <si>
    <t>Snittpris i dag</t>
  </si>
  <si>
    <t>Netto kr/m3 i dag</t>
  </si>
  <si>
    <t>Netto kr/m3 ved normal hogst alder</t>
  </si>
  <si>
    <t>Resultat</t>
  </si>
  <si>
    <t>Vrak</t>
  </si>
  <si>
    <t>Justere slutthogstalder</t>
  </si>
  <si>
    <t>Økt tilvekst</t>
  </si>
  <si>
    <t>Parameter for grunnverdi / andre omløp</t>
  </si>
  <si>
    <t>m3/daa</t>
  </si>
  <si>
    <t>Ungskogpleie (NOK/daa)</t>
  </si>
  <si>
    <t>Rentefot</t>
  </si>
  <si>
    <t>Nåverdi Beiteskade (Ved normal slutthogstalder)</t>
  </si>
  <si>
    <t>Justering av alder andre omløp</t>
  </si>
  <si>
    <t>Optimalsituasjon</t>
  </si>
  <si>
    <t xml:space="preserve">Beiteskade </t>
  </si>
  <si>
    <t>Nåverdi ved optimalsituasjon (Ved normal slutthogstalder)</t>
  </si>
  <si>
    <t>Volum er redusert med følgende satser</t>
  </si>
  <si>
    <t>Svak beitegrad</t>
  </si>
  <si>
    <t>Middels</t>
  </si>
  <si>
    <t>Sterk</t>
  </si>
  <si>
    <t>Volum reduksjon (i dag)</t>
  </si>
  <si>
    <t>Volum reduksjon (ved slutthogst)</t>
  </si>
  <si>
    <t>Beiteskade (Kvalitetsreduksjon)</t>
  </si>
  <si>
    <t>Sagtømmerpris</t>
  </si>
  <si>
    <t>Massevrikepris</t>
  </si>
  <si>
    <t>Gjentaksfaktoren</t>
  </si>
  <si>
    <t>Omløpstid</t>
  </si>
  <si>
    <t>Netto volum avvirkning</t>
  </si>
  <si>
    <t>Verdien av første omløp</t>
  </si>
  <si>
    <t>&lt;</t>
  </si>
  <si>
    <t>Grunnverdien</t>
  </si>
  <si>
    <t>Justering av Bonitet</t>
  </si>
  <si>
    <t>Endring i massevirkepriser</t>
  </si>
  <si>
    <t>Effekten av reduksjon i sluttavirkings volum mot optimal situasjon</t>
  </si>
  <si>
    <t>år</t>
  </si>
  <si>
    <t>H40</t>
  </si>
  <si>
    <t>Instruksjoner</t>
  </si>
  <si>
    <t>Endre grunnverdier/neste omløp</t>
  </si>
  <si>
    <t>Grunnverdi</t>
  </si>
  <si>
    <t xml:space="preserve">For sensitivitets analyse </t>
  </si>
  <si>
    <t xml:space="preserve">Sensitivitets analyser </t>
  </si>
  <si>
    <t>Kostnader / risiko</t>
  </si>
  <si>
    <t>Under nåsituasjon kan man endre følgende</t>
  </si>
  <si>
    <t xml:space="preserve">Bonitet </t>
  </si>
  <si>
    <t>Alder på bestandet</t>
  </si>
  <si>
    <t xml:space="preserve">Justere slutthogstalder </t>
  </si>
  <si>
    <t xml:space="preserve">Senario </t>
  </si>
  <si>
    <t>Endre hogstmodenhetsalderen på andre omløp</t>
  </si>
  <si>
    <t>Om det er endring i tilvekst i andre omløp</t>
  </si>
  <si>
    <t>"Salgbart virke - tid til tømmer når minste dimensjon "</t>
  </si>
  <si>
    <t>Endre tilvekst</t>
  </si>
  <si>
    <t>Fordeling av sagtømmer ved optimalsituasjon og ved beiteskade</t>
  </si>
  <si>
    <t>Sensitivitetsanalyser</t>
  </si>
  <si>
    <t>Etableringskostnader (NOK/daa)</t>
  </si>
  <si>
    <t xml:space="preserve">Justere driftskostnader - om 0 brukes standard forutsetninger </t>
  </si>
  <si>
    <t xml:space="preserve">Endre tømmerpriser for alle senarioene også grunnverdi </t>
  </si>
  <si>
    <t>Viser effekten av å endre parametre under nåsituasjon, senario og grunnverdi</t>
  </si>
  <si>
    <t>kr</t>
  </si>
  <si>
    <t>Volumreduksjon (i dag) - justerer volumet i celle E49</t>
  </si>
  <si>
    <t>Volumreduksjon (ved slutthogst) - justerer volumet i celle E44</t>
  </si>
  <si>
    <t>Tilsvare å endre celle E38</t>
  </si>
  <si>
    <t>Tilsvare å endre celle D56</t>
  </si>
  <si>
    <t>Tilsvare å endre celle B39</t>
  </si>
  <si>
    <t>Tilsvare å endre celle B15</t>
  </si>
  <si>
    <t>Tilsvare å endre celle B16</t>
  </si>
  <si>
    <t>Tilsvare å endre celle B12</t>
  </si>
  <si>
    <t>Justere driftskostnader</t>
  </si>
  <si>
    <t>Ja</t>
  </si>
  <si>
    <t>Er det lønnsomt å retablere bestandet?</t>
  </si>
  <si>
    <t>Volum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</si>
</sst>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.00\ _k_r_-;\-* #,##0.00\ _k_r_-;_-* &quot;-&quot;??\ _k_r_-;_-@_-"/>
    <numFmt numFmtId="167" formatCode="0.0"/>
    <numFmt numFmtId="168" formatCode="_-&quot;kr&quot;\ * #,##0_-;\-&quot;kr&quot;\ * #,##0_-;_-&quot;kr&quot;\ * &quot;-&quot;??_-;_-@_-"/>
    <numFmt numFmtId="169" formatCode="0.0\ %"/>
    <numFmt numFmtId="170" formatCode="_-* #,##0_-;\-* #,##0_-;_-* &quot;-&quot;??_-;_-@_-"/>
    <numFmt numFmtId="171" formatCode="_-* #,##0.0_-;\-* #,##0.0_-;_-* &quot;-&quot;??_-;_-@_-"/>
    <numFmt numFmtId="172" formatCode="0.000"/>
    <numFmt numFmtId="173" formatCode="_-* #,##0.0\ _k_r_-;\-* #,##0.0\ _k_r_-;_-* &quot;-&quot;??\ _k_r_-;_-@_-"/>
    <numFmt numFmtId="174" formatCode="_-* #,##0\ _k_r_-;\-* #,##0\ _k_r_-;_-* &quot;-&quot;??\ _k_r_-;_-@_-"/>
    <numFmt numFmtId="175" formatCode="_-* #,##0.0\ _k_r_-;\-* #,##0.0\ _k_r_-;_-* &quot;-&quot;?\ _k_r_-;_-@_-"/>
    <numFmt numFmtId="176" formatCode="#,##0\ &quot;kr&quot;"/>
    <numFmt numFmtId="177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6" borderId="2" applyNumberFormat="0" applyAlignment="0" applyProtection="0"/>
    <xf numFmtId="43" fontId="7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/>
    <xf numFmtId="0" fontId="22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3" borderId="1" xfId="0" applyFont="1" applyFill="1" applyBorder="1" applyProtection="1"/>
    <xf numFmtId="0" fontId="3" fillId="3" borderId="1" xfId="0" applyFont="1" applyFill="1" applyBorder="1" applyAlignment="1" applyProtection="1">
      <alignment horizontal="left"/>
    </xf>
    <xf numFmtId="0" fontId="0" fillId="3" borderId="1" xfId="0" applyFill="1" applyBorder="1" applyProtection="1"/>
    <xf numFmtId="9" fontId="0" fillId="3" borderId="1" xfId="0" applyNumberFormat="1" applyFill="1" applyBorder="1" applyProtection="1"/>
    <xf numFmtId="0" fontId="0" fillId="3" borderId="1" xfId="0" applyFill="1" applyBorder="1" applyAlignment="1" applyProtection="1">
      <alignment wrapText="1"/>
    </xf>
    <xf numFmtId="0" fontId="0" fillId="3" borderId="1" xfId="0" applyFill="1" applyBorder="1" applyAlignment="1" applyProtection="1">
      <alignment horizontal="right"/>
    </xf>
    <xf numFmtId="0" fontId="0" fillId="0" borderId="0" xfId="0" applyAlignment="1">
      <alignment wrapText="1"/>
    </xf>
    <xf numFmtId="167" fontId="4" fillId="3" borderId="1" xfId="0" applyNumberFormat="1" applyFont="1" applyFill="1" applyBorder="1" applyProtection="1"/>
    <xf numFmtId="9" fontId="0" fillId="0" borderId="0" xfId="4" applyFont="1"/>
    <xf numFmtId="9" fontId="0" fillId="0" borderId="0" xfId="4" applyNumberFormat="1" applyFont="1"/>
    <xf numFmtId="1" fontId="10" fillId="7" borderId="0" xfId="7" applyNumberFormat="1" applyFont="1" applyFill="1" applyBorder="1"/>
    <xf numFmtId="0" fontId="10" fillId="7" borderId="0" xfId="7" applyFont="1" applyFill="1" applyBorder="1"/>
    <xf numFmtId="0" fontId="11" fillId="7" borderId="0" xfId="7" applyFont="1" applyFill="1" applyBorder="1"/>
    <xf numFmtId="1" fontId="11" fillId="7" borderId="0" xfId="7" applyNumberFormat="1" applyFont="1" applyFill="1" applyBorder="1"/>
    <xf numFmtId="171" fontId="10" fillId="7" borderId="0" xfId="8" applyNumberFormat="1" applyFont="1" applyFill="1" applyBorder="1"/>
    <xf numFmtId="165" fontId="11" fillId="7" borderId="0" xfId="8" applyFont="1" applyFill="1" applyBorder="1"/>
    <xf numFmtId="0" fontId="10" fillId="0" borderId="0" xfId="7" applyFont="1"/>
    <xf numFmtId="1" fontId="11" fillId="7" borderId="3" xfId="7" applyNumberFormat="1" applyFont="1" applyFill="1" applyBorder="1"/>
    <xf numFmtId="10" fontId="11" fillId="7" borderId="3" xfId="9" applyNumberFormat="1" applyFont="1" applyFill="1" applyBorder="1"/>
    <xf numFmtId="1" fontId="10" fillId="7" borderId="3" xfId="7" applyNumberFormat="1" applyFont="1" applyFill="1" applyBorder="1"/>
    <xf numFmtId="0" fontId="14" fillId="2" borderId="1" xfId="0" applyFont="1" applyFill="1" applyBorder="1" applyProtection="1">
      <protection locked="0"/>
    </xf>
    <xf numFmtId="9" fontId="0" fillId="0" borderId="0" xfId="0" applyNumberFormat="1"/>
    <xf numFmtId="166" fontId="0" fillId="0" borderId="0" xfId="11" applyFont="1"/>
    <xf numFmtId="173" fontId="0" fillId="0" borderId="0" xfId="11" applyNumberFormat="1" applyFont="1"/>
    <xf numFmtId="174" fontId="0" fillId="0" borderId="0" xfId="11" applyNumberFormat="1" applyFont="1"/>
    <xf numFmtId="174" fontId="0" fillId="0" borderId="0" xfId="0" applyNumberFormat="1"/>
    <xf numFmtId="175" fontId="0" fillId="0" borderId="0" xfId="0" applyNumberFormat="1"/>
    <xf numFmtId="0" fontId="17" fillId="0" borderId="0" xfId="12" applyFont="1" applyAlignment="1">
      <alignment horizontal="center" vertical="center"/>
    </xf>
    <xf numFmtId="0" fontId="17" fillId="0" borderId="11" xfId="12" applyFont="1" applyFill="1" applyBorder="1" applyAlignment="1">
      <alignment horizontal="center" vertical="center" wrapText="1"/>
    </xf>
    <xf numFmtId="0" fontId="17" fillId="0" borderId="11" xfId="12" applyFont="1" applyBorder="1" applyAlignment="1">
      <alignment horizontal="center" vertical="center"/>
    </xf>
    <xf numFmtId="0" fontId="17" fillId="9" borderId="7" xfId="12" applyFont="1" applyFill="1" applyBorder="1" applyAlignment="1">
      <alignment horizontal="center" vertical="center" wrapText="1"/>
    </xf>
    <xf numFmtId="0" fontId="17" fillId="9" borderId="0" xfId="12" applyFont="1" applyFill="1" applyBorder="1" applyAlignment="1">
      <alignment horizontal="center" vertical="center" wrapText="1"/>
    </xf>
    <xf numFmtId="0" fontId="17" fillId="9" borderId="13" xfId="12" applyFont="1" applyFill="1" applyBorder="1" applyAlignment="1">
      <alignment horizontal="center" vertical="center" wrapText="1"/>
    </xf>
    <xf numFmtId="0" fontId="17" fillId="9" borderId="0" xfId="12" applyFont="1" applyFill="1" applyAlignment="1">
      <alignment horizontal="center" vertical="center" wrapText="1"/>
    </xf>
    <xf numFmtId="0" fontId="17" fillId="9" borderId="7" xfId="12" applyFont="1" applyFill="1" applyBorder="1" applyAlignment="1">
      <alignment horizontal="center"/>
    </xf>
    <xf numFmtId="0" fontId="17" fillId="9" borderId="0" xfId="12" applyFont="1" applyFill="1" applyBorder="1" applyAlignment="1">
      <alignment horizontal="center"/>
    </xf>
    <xf numFmtId="167" fontId="18" fillId="0" borderId="0" xfId="12" applyNumberFormat="1" applyFont="1" applyBorder="1" applyAlignment="1">
      <alignment horizontal="right"/>
    </xf>
    <xf numFmtId="167" fontId="18" fillId="10" borderId="0" xfId="12" applyNumberFormat="1" applyFont="1" applyFill="1" applyBorder="1" applyAlignment="1">
      <alignment horizontal="right"/>
    </xf>
    <xf numFmtId="0" fontId="18" fillId="10" borderId="0" xfId="12" applyFont="1" applyFill="1" applyBorder="1" applyAlignment="1">
      <alignment horizontal="right"/>
    </xf>
    <xf numFmtId="1" fontId="18" fillId="10" borderId="0" xfId="12" applyNumberFormat="1" applyFont="1" applyFill="1" applyBorder="1" applyAlignment="1">
      <alignment horizontal="right"/>
    </xf>
    <xf numFmtId="0" fontId="18" fillId="0" borderId="0" xfId="12" applyFont="1" applyBorder="1" applyAlignment="1">
      <alignment horizontal="right"/>
    </xf>
    <xf numFmtId="1" fontId="18" fillId="0" borderId="0" xfId="12" applyNumberFormat="1" applyFont="1" applyBorder="1" applyAlignment="1">
      <alignment horizontal="right"/>
    </xf>
    <xf numFmtId="0" fontId="18" fillId="10" borderId="0" xfId="12" applyFont="1" applyFill="1" applyBorder="1" applyAlignment="1">
      <alignment horizontal="right" vertical="top"/>
    </xf>
    <xf numFmtId="0" fontId="18" fillId="0" borderId="0" xfId="12" applyFont="1" applyBorder="1" applyAlignment="1">
      <alignment horizontal="right" vertical="top"/>
    </xf>
    <xf numFmtId="0" fontId="18" fillId="10" borderId="13" xfId="12" applyFont="1" applyFill="1" applyBorder="1" applyAlignment="1">
      <alignment horizontal="right" vertical="top"/>
    </xf>
    <xf numFmtId="0" fontId="18" fillId="0" borderId="0" xfId="12" applyFont="1" applyAlignment="1">
      <alignment horizontal="center" vertical="center"/>
    </xf>
    <xf numFmtId="167" fontId="18" fillId="10" borderId="0" xfId="12" applyNumberFormat="1" applyFont="1" applyFill="1" applyBorder="1" applyAlignment="1">
      <alignment horizontal="right" vertical="top"/>
    </xf>
    <xf numFmtId="167" fontId="18" fillId="0" borderId="0" xfId="12" applyNumberFormat="1" applyFont="1" applyBorder="1" applyAlignment="1">
      <alignment horizontal="right" vertical="top"/>
    </xf>
    <xf numFmtId="167" fontId="18" fillId="10" borderId="13" xfId="12" applyNumberFormat="1" applyFont="1" applyFill="1" applyBorder="1" applyAlignment="1">
      <alignment horizontal="right" vertical="top"/>
    </xf>
    <xf numFmtId="167" fontId="18" fillId="0" borderId="0" xfId="12" applyNumberFormat="1" applyFont="1" applyFill="1" applyBorder="1" applyAlignment="1">
      <alignment horizontal="right"/>
    </xf>
    <xf numFmtId="0" fontId="18" fillId="9" borderId="14" xfId="12" applyFont="1" applyFill="1" applyBorder="1"/>
    <xf numFmtId="0" fontId="17" fillId="9" borderId="3" xfId="12" applyFont="1" applyFill="1" applyBorder="1" applyAlignment="1">
      <alignment horizontal="center"/>
    </xf>
    <xf numFmtId="0" fontId="18" fillId="10" borderId="3" xfId="12" applyFont="1" applyFill="1" applyBorder="1" applyAlignment="1">
      <alignment horizontal="right"/>
    </xf>
    <xf numFmtId="0" fontId="18" fillId="10" borderId="15" xfId="12" applyFont="1" applyFill="1" applyBorder="1" applyAlignment="1">
      <alignment horizontal="right"/>
    </xf>
    <xf numFmtId="0" fontId="18" fillId="0" borderId="0" xfId="12" applyFont="1"/>
    <xf numFmtId="0" fontId="18" fillId="9" borderId="3" xfId="12" applyFont="1" applyFill="1" applyBorder="1"/>
    <xf numFmtId="0" fontId="18" fillId="10" borderId="0" xfId="12" applyFont="1" applyFill="1"/>
    <xf numFmtId="173" fontId="17" fillId="0" borderId="0" xfId="11" applyNumberFormat="1" applyFont="1" applyAlignment="1">
      <alignment horizontal="center" vertical="center"/>
    </xf>
    <xf numFmtId="173" fontId="17" fillId="9" borderId="0" xfId="11" applyNumberFormat="1" applyFont="1" applyFill="1" applyAlignment="1">
      <alignment horizontal="center" vertical="center" wrapText="1"/>
    </xf>
    <xf numFmtId="173" fontId="18" fillId="0" borderId="0" xfId="11" applyNumberFormat="1" applyFont="1" applyAlignment="1">
      <alignment horizontal="center" vertical="center"/>
    </xf>
    <xf numFmtId="173" fontId="18" fillId="0" borderId="0" xfId="11" applyNumberFormat="1" applyFont="1"/>
    <xf numFmtId="9" fontId="0" fillId="2" borderId="1" xfId="4" applyFont="1" applyFill="1" applyBorder="1" applyAlignment="1" applyProtection="1">
      <alignment horizontal="center"/>
      <protection locked="0"/>
    </xf>
    <xf numFmtId="0" fontId="20" fillId="0" borderId="0" xfId="12" applyFont="1" applyAlignment="1">
      <alignment horizontal="center" vertical="center"/>
    </xf>
    <xf numFmtId="0" fontId="20" fillId="0" borderId="11" xfId="12" applyFont="1" applyFill="1" applyBorder="1" applyAlignment="1">
      <alignment horizontal="center" vertical="center" wrapText="1"/>
    </xf>
    <xf numFmtId="0" fontId="20" fillId="0" borderId="11" xfId="12" applyFont="1" applyBorder="1" applyAlignment="1">
      <alignment horizontal="center" vertical="center"/>
    </xf>
    <xf numFmtId="0" fontId="20" fillId="9" borderId="7" xfId="12" applyFont="1" applyFill="1" applyBorder="1" applyAlignment="1">
      <alignment horizontal="center" vertical="center" wrapText="1"/>
    </xf>
    <xf numFmtId="0" fontId="20" fillId="9" borderId="0" xfId="12" applyFont="1" applyFill="1" applyBorder="1" applyAlignment="1">
      <alignment horizontal="center" vertical="center" wrapText="1"/>
    </xf>
    <xf numFmtId="0" fontId="20" fillId="9" borderId="13" xfId="12" applyFont="1" applyFill="1" applyBorder="1" applyAlignment="1">
      <alignment horizontal="center" vertical="center" wrapText="1"/>
    </xf>
    <xf numFmtId="0" fontId="20" fillId="9" borderId="0" xfId="12" applyFont="1" applyFill="1" applyAlignment="1">
      <alignment horizontal="center" vertical="center" wrapText="1"/>
    </xf>
    <xf numFmtId="0" fontId="20" fillId="9" borderId="7" xfId="12" applyFont="1" applyFill="1" applyBorder="1" applyAlignment="1">
      <alignment horizontal="center"/>
    </xf>
    <xf numFmtId="0" fontId="20" fillId="9" borderId="0" xfId="12" applyFont="1" applyFill="1" applyBorder="1" applyAlignment="1">
      <alignment horizontal="center"/>
    </xf>
    <xf numFmtId="167" fontId="21" fillId="0" borderId="0" xfId="12" applyNumberFormat="1" applyFont="1" applyBorder="1" applyAlignment="1">
      <alignment horizontal="right"/>
    </xf>
    <xf numFmtId="167" fontId="21" fillId="10" borderId="0" xfId="12" applyNumberFormat="1" applyFont="1" applyFill="1" applyBorder="1" applyAlignment="1">
      <alignment horizontal="right"/>
    </xf>
    <xf numFmtId="0" fontId="21" fillId="10" borderId="0" xfId="12" applyFont="1" applyFill="1" applyBorder="1" applyAlignment="1">
      <alignment horizontal="right"/>
    </xf>
    <xf numFmtId="1" fontId="21" fillId="10" borderId="0" xfId="12" applyNumberFormat="1" applyFont="1" applyFill="1" applyBorder="1" applyAlignment="1">
      <alignment horizontal="right"/>
    </xf>
    <xf numFmtId="0" fontId="21" fillId="0" borderId="0" xfId="12" applyFont="1" applyBorder="1" applyAlignment="1">
      <alignment horizontal="right"/>
    </xf>
    <xf numFmtId="1" fontId="21" fillId="0" borderId="0" xfId="12" applyNumberFormat="1" applyFont="1" applyBorder="1" applyAlignment="1">
      <alignment horizontal="right"/>
    </xf>
    <xf numFmtId="0" fontId="21" fillId="10" borderId="0" xfId="12" applyFont="1" applyFill="1" applyBorder="1" applyAlignment="1">
      <alignment horizontal="right" vertical="top"/>
    </xf>
    <xf numFmtId="0" fontId="21" fillId="0" borderId="0" xfId="12" applyFont="1" applyBorder="1" applyAlignment="1">
      <alignment horizontal="right" vertical="top"/>
    </xf>
    <xf numFmtId="0" fontId="21" fillId="10" borderId="13" xfId="12" applyFont="1" applyFill="1" applyBorder="1" applyAlignment="1">
      <alignment horizontal="right" vertical="top"/>
    </xf>
    <xf numFmtId="0" fontId="21" fillId="0" borderId="0" xfId="12" applyFont="1" applyAlignment="1">
      <alignment horizontal="center" vertical="center"/>
    </xf>
    <xf numFmtId="167" fontId="21" fillId="10" borderId="0" xfId="12" applyNumberFormat="1" applyFont="1" applyFill="1" applyBorder="1" applyAlignment="1">
      <alignment horizontal="right" vertical="top"/>
    </xf>
    <xf numFmtId="167" fontId="21" fillId="0" borderId="0" xfId="12" applyNumberFormat="1" applyFont="1" applyBorder="1" applyAlignment="1">
      <alignment horizontal="right" vertical="top"/>
    </xf>
    <xf numFmtId="167" fontId="21" fillId="10" borderId="13" xfId="12" applyNumberFormat="1" applyFont="1" applyFill="1" applyBorder="1" applyAlignment="1">
      <alignment horizontal="right" vertical="top"/>
    </xf>
    <xf numFmtId="167" fontId="21" fillId="0" borderId="0" xfId="12" applyNumberFormat="1" applyFont="1" applyFill="1" applyBorder="1" applyAlignment="1">
      <alignment horizontal="right"/>
    </xf>
    <xf numFmtId="0" fontId="21" fillId="0" borderId="0" xfId="12" applyFont="1" applyBorder="1" applyAlignment="1">
      <alignment horizontal="center" vertical="center"/>
    </xf>
    <xf numFmtId="0" fontId="21" fillId="9" borderId="14" xfId="12" applyFont="1" applyFill="1" applyBorder="1"/>
    <xf numFmtId="0" fontId="20" fillId="9" borderId="3" xfId="12" applyFont="1" applyFill="1" applyBorder="1" applyAlignment="1">
      <alignment horizontal="center"/>
    </xf>
    <xf numFmtId="0" fontId="21" fillId="10" borderId="3" xfId="12" applyFont="1" applyFill="1" applyBorder="1"/>
    <xf numFmtId="0" fontId="21" fillId="10" borderId="15" xfId="12" applyFont="1" applyFill="1" applyBorder="1"/>
    <xf numFmtId="0" fontId="21" fillId="0" borderId="0" xfId="12" applyFont="1"/>
    <xf numFmtId="0" fontId="21" fillId="9" borderId="3" xfId="12" applyFont="1" applyFill="1" applyBorder="1"/>
    <xf numFmtId="0" fontId="21" fillId="10" borderId="0" xfId="12" applyFont="1" applyFill="1"/>
    <xf numFmtId="0" fontId="21" fillId="10" borderId="3" xfId="12" applyFont="1" applyFill="1" applyBorder="1" applyAlignment="1">
      <alignment horizontal="right"/>
    </xf>
    <xf numFmtId="0" fontId="21" fillId="10" borderId="15" xfId="12" applyFont="1" applyFill="1" applyBorder="1" applyAlignment="1">
      <alignment horizontal="right"/>
    </xf>
    <xf numFmtId="0" fontId="21" fillId="0" borderId="0" xfId="12" applyFont="1" applyAlignment="1">
      <alignment horizontal="right"/>
    </xf>
    <xf numFmtId="167" fontId="21" fillId="0" borderId="0" xfId="12" applyNumberFormat="1" applyFont="1" applyAlignment="1">
      <alignment horizontal="center" vertical="center"/>
    </xf>
    <xf numFmtId="173" fontId="21" fillId="0" borderId="0" xfId="11" applyNumberFormat="1" applyFont="1" applyAlignment="1">
      <alignment horizontal="right" vertical="center"/>
    </xf>
    <xf numFmtId="169" fontId="0" fillId="0" borderId="0" xfId="4" applyNumberFormat="1" applyFont="1"/>
    <xf numFmtId="166" fontId="0" fillId="0" borderId="0" xfId="11" applyNumberFormat="1" applyFont="1"/>
    <xf numFmtId="165" fontId="0" fillId="0" borderId="0" xfId="0" applyNumberFormat="1"/>
    <xf numFmtId="0" fontId="0" fillId="2" borderId="0" xfId="0" applyFill="1"/>
    <xf numFmtId="0" fontId="0" fillId="0" borderId="0" xfId="0" applyNumberFormat="1"/>
    <xf numFmtId="0" fontId="0" fillId="3" borderId="0" xfId="0" applyFill="1" applyBorder="1" applyProtection="1"/>
    <xf numFmtId="0" fontId="3" fillId="7" borderId="0" xfId="0" applyFont="1" applyFill="1" applyBorder="1" applyAlignment="1" applyProtection="1">
      <alignment horizontal="left"/>
    </xf>
    <xf numFmtId="0" fontId="0" fillId="7" borderId="0" xfId="0" applyFill="1" applyProtection="1"/>
    <xf numFmtId="0" fontId="10" fillId="7" borderId="0" xfId="7" applyFont="1" applyFill="1"/>
    <xf numFmtId="9" fontId="10" fillId="7" borderId="0" xfId="7" applyNumberFormat="1" applyFont="1" applyFill="1" applyBorder="1"/>
    <xf numFmtId="169" fontId="10" fillId="7" borderId="0" xfId="7" applyNumberFormat="1" applyFont="1" applyFill="1" applyBorder="1"/>
    <xf numFmtId="172" fontId="10" fillId="7" borderId="0" xfId="7" applyNumberFormat="1" applyFont="1" applyFill="1" applyBorder="1"/>
    <xf numFmtId="1" fontId="10" fillId="8" borderId="3" xfId="7" applyNumberFormat="1" applyFont="1" applyFill="1" applyBorder="1"/>
    <xf numFmtId="169" fontId="10" fillId="0" borderId="0" xfId="7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168" fontId="14" fillId="0" borderId="0" xfId="3" applyNumberFormat="1" applyFont="1"/>
    <xf numFmtId="170" fontId="14" fillId="7" borderId="0" xfId="8" applyNumberFormat="1" applyFont="1" applyFill="1" applyBorder="1"/>
    <xf numFmtId="10" fontId="14" fillId="7" borderId="0" xfId="9" applyNumberFormat="1" applyFont="1" applyFill="1" applyBorder="1"/>
    <xf numFmtId="1" fontId="14" fillId="7" borderId="0" xfId="9" applyNumberFormat="1" applyFont="1" applyFill="1" applyBorder="1"/>
    <xf numFmtId="9" fontId="14" fillId="7" borderId="0" xfId="9" applyFont="1" applyFill="1" applyBorder="1"/>
    <xf numFmtId="9" fontId="14" fillId="7" borderId="0" xfId="8" applyNumberFormat="1" applyFont="1" applyFill="1" applyBorder="1"/>
    <xf numFmtId="0" fontId="0" fillId="3" borderId="17" xfId="0" applyFill="1" applyBorder="1" applyAlignment="1" applyProtection="1">
      <alignment wrapText="1"/>
    </xf>
    <xf numFmtId="0" fontId="2" fillId="3" borderId="1" xfId="0" applyFont="1" applyFill="1" applyBorder="1" applyProtection="1"/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174" fontId="0" fillId="2" borderId="1" xfId="1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/>
    <xf numFmtId="9" fontId="14" fillId="7" borderId="0" xfId="4" applyFont="1" applyFill="1" applyBorder="1"/>
    <xf numFmtId="0" fontId="0" fillId="3" borderId="19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wrapText="1"/>
    </xf>
    <xf numFmtId="0" fontId="0" fillId="2" borderId="18" xfId="0" applyFill="1" applyBorder="1" applyProtection="1">
      <protection locked="0"/>
    </xf>
    <xf numFmtId="0" fontId="0" fillId="3" borderId="18" xfId="0" applyFill="1" applyBorder="1" applyProtection="1"/>
    <xf numFmtId="0" fontId="0" fillId="3" borderId="24" xfId="0" applyFill="1" applyBorder="1" applyAlignment="1" applyProtection="1">
      <alignment wrapText="1"/>
    </xf>
    <xf numFmtId="9" fontId="0" fillId="2" borderId="24" xfId="0" applyNumberFormat="1" applyFill="1" applyBorder="1" applyProtection="1">
      <protection locked="0"/>
    </xf>
    <xf numFmtId="1" fontId="0" fillId="3" borderId="24" xfId="0" applyNumberFormat="1" applyFill="1" applyBorder="1" applyProtection="1"/>
    <xf numFmtId="0" fontId="2" fillId="3" borderId="28" xfId="0" applyFont="1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center"/>
    </xf>
    <xf numFmtId="9" fontId="0" fillId="3" borderId="18" xfId="4" applyFont="1" applyFill="1" applyBorder="1" applyAlignment="1" applyProtection="1">
      <alignment wrapText="1"/>
    </xf>
    <xf numFmtId="9" fontId="0" fillId="3" borderId="18" xfId="0" applyNumberFormat="1" applyFill="1" applyBorder="1" applyAlignment="1" applyProtection="1">
      <alignment wrapText="1"/>
    </xf>
    <xf numFmtId="1" fontId="0" fillId="3" borderId="18" xfId="0" applyNumberFormat="1" applyFill="1" applyBorder="1" applyProtection="1"/>
    <xf numFmtId="0" fontId="0" fillId="7" borderId="35" xfId="0" applyFill="1" applyBorder="1" applyProtection="1"/>
    <xf numFmtId="0" fontId="0" fillId="3" borderId="36" xfId="0" applyFill="1" applyBorder="1" applyAlignment="1" applyProtection="1">
      <alignment wrapText="1"/>
    </xf>
    <xf numFmtId="0" fontId="0" fillId="3" borderId="37" xfId="0" applyFill="1" applyBorder="1" applyAlignment="1" applyProtection="1">
      <alignment wrapText="1"/>
    </xf>
    <xf numFmtId="9" fontId="0" fillId="2" borderId="36" xfId="0" applyNumberFormat="1" applyFill="1" applyBorder="1" applyProtection="1">
      <protection locked="0"/>
    </xf>
    <xf numFmtId="9" fontId="0" fillId="3" borderId="37" xfId="4" applyFont="1" applyFill="1" applyBorder="1" applyAlignment="1" applyProtection="1">
      <alignment wrapText="1"/>
    </xf>
    <xf numFmtId="9" fontId="0" fillId="3" borderId="37" xfId="0" applyNumberFormat="1" applyFill="1" applyBorder="1" applyAlignment="1" applyProtection="1">
      <alignment wrapText="1"/>
    </xf>
    <xf numFmtId="1" fontId="0" fillId="3" borderId="36" xfId="0" applyNumberFormat="1" applyFill="1" applyBorder="1" applyProtection="1"/>
    <xf numFmtId="1" fontId="0" fillId="3" borderId="37" xfId="0" applyNumberFormat="1" applyFill="1" applyBorder="1" applyProtection="1"/>
    <xf numFmtId="0" fontId="2" fillId="3" borderId="40" xfId="0" applyFont="1" applyFill="1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/>
    </xf>
    <xf numFmtId="9" fontId="0" fillId="3" borderId="43" xfId="4" applyFont="1" applyFill="1" applyBorder="1" applyProtection="1"/>
    <xf numFmtId="0" fontId="0" fillId="3" borderId="25" xfId="0" applyFill="1" applyBorder="1" applyProtection="1"/>
    <xf numFmtId="174" fontId="1" fillId="3" borderId="46" xfId="11" applyNumberFormat="1" applyFont="1" applyFill="1" applyBorder="1" applyProtection="1"/>
    <xf numFmtId="174" fontId="1" fillId="3" borderId="26" xfId="11" applyNumberFormat="1" applyFont="1" applyFill="1" applyBorder="1" applyProtection="1"/>
    <xf numFmtId="174" fontId="1" fillId="3" borderId="30" xfId="11" applyNumberFormat="1" applyFont="1" applyFill="1" applyBorder="1" applyProtection="1"/>
    <xf numFmtId="0" fontId="0" fillId="3" borderId="24" xfId="0" applyFill="1" applyBorder="1" applyProtection="1"/>
    <xf numFmtId="0" fontId="0" fillId="3" borderId="47" xfId="0" applyFill="1" applyBorder="1" applyProtection="1"/>
    <xf numFmtId="9" fontId="0" fillId="2" borderId="48" xfId="4" applyFont="1" applyFill="1" applyBorder="1" applyAlignment="1" applyProtection="1">
      <alignment horizontal="center"/>
      <protection locked="0"/>
    </xf>
    <xf numFmtId="0" fontId="1" fillId="7" borderId="32" xfId="0" applyFont="1" applyFill="1" applyBorder="1" applyAlignment="1" applyProtection="1">
      <alignment horizontal="center"/>
    </xf>
    <xf numFmtId="0" fontId="1" fillId="7" borderId="33" xfId="0" applyFont="1" applyFill="1" applyBorder="1" applyAlignment="1" applyProtection="1">
      <alignment horizontal="center"/>
    </xf>
    <xf numFmtId="0" fontId="4" fillId="3" borderId="17" xfId="0" applyFont="1" applyFill="1" applyBorder="1" applyProtection="1"/>
    <xf numFmtId="9" fontId="0" fillId="3" borderId="29" xfId="0" applyNumberFormat="1" applyFill="1" applyBorder="1" applyProtection="1"/>
    <xf numFmtId="170" fontId="10" fillId="7" borderId="0" xfId="7" applyNumberFormat="1" applyFont="1" applyFill="1"/>
    <xf numFmtId="1" fontId="10" fillId="7" borderId="0" xfId="7" applyNumberFormat="1" applyFont="1" applyFill="1"/>
    <xf numFmtId="9" fontId="10" fillId="7" borderId="0" xfId="7" applyNumberFormat="1" applyFont="1" applyFill="1"/>
    <xf numFmtId="1" fontId="10" fillId="7" borderId="0" xfId="11" applyNumberFormat="1" applyFont="1" applyFill="1" applyAlignment="1">
      <alignment horizontal="right"/>
    </xf>
    <xf numFmtId="2" fontId="10" fillId="7" borderId="0" xfId="7" applyNumberFormat="1" applyFont="1" applyFill="1"/>
    <xf numFmtId="0" fontId="3" fillId="7" borderId="0" xfId="0" applyFont="1" applyFill="1" applyProtection="1"/>
    <xf numFmtId="14" fontId="0" fillId="7" borderId="0" xfId="0" applyNumberFormat="1" applyFill="1" applyProtection="1"/>
    <xf numFmtId="0" fontId="0" fillId="2" borderId="1" xfId="0" applyFill="1" applyBorder="1" applyAlignment="1" applyProtection="1">
      <alignment horizontal="center"/>
    </xf>
    <xf numFmtId="169" fontId="0" fillId="7" borderId="0" xfId="0" applyNumberFormat="1" applyFill="1" applyProtection="1"/>
    <xf numFmtId="0" fontId="0" fillId="11" borderId="1" xfId="0" applyFill="1" applyBorder="1" applyAlignment="1" applyProtection="1">
      <alignment horizontal="center"/>
    </xf>
    <xf numFmtId="0" fontId="0" fillId="7" borderId="22" xfId="0" applyFill="1" applyBorder="1" applyProtection="1"/>
    <xf numFmtId="0" fontId="0" fillId="7" borderId="45" xfId="0" applyFill="1" applyBorder="1" applyProtection="1"/>
    <xf numFmtId="0" fontId="0" fillId="7" borderId="23" xfId="0" applyFill="1" applyBorder="1" applyProtection="1"/>
    <xf numFmtId="0" fontId="0" fillId="7" borderId="0" xfId="0" applyFill="1" applyBorder="1" applyProtection="1"/>
    <xf numFmtId="176" fontId="0" fillId="11" borderId="1" xfId="11" applyNumberFormat="1" applyFont="1" applyFill="1" applyBorder="1" applyAlignment="1" applyProtection="1">
      <alignment horizontal="center"/>
    </xf>
    <xf numFmtId="169" fontId="0" fillId="3" borderId="29" xfId="0" applyNumberFormat="1" applyFill="1" applyBorder="1" applyProtection="1"/>
    <xf numFmtId="0" fontId="0" fillId="0" borderId="0" xfId="0" applyBorder="1" applyProtection="1"/>
    <xf numFmtId="0" fontId="0" fillId="7" borderId="27" xfId="0" applyFill="1" applyBorder="1" applyProtection="1"/>
    <xf numFmtId="0" fontId="0" fillId="0" borderId="26" xfId="0" applyBorder="1" applyProtection="1"/>
    <xf numFmtId="2" fontId="0" fillId="11" borderId="1" xfId="11" applyNumberFormat="1" applyFont="1" applyFill="1" applyBorder="1" applyAlignment="1" applyProtection="1">
      <alignment horizontal="center"/>
    </xf>
    <xf numFmtId="169" fontId="0" fillId="3" borderId="1" xfId="0" applyNumberFormat="1" applyFill="1" applyBorder="1" applyProtection="1"/>
    <xf numFmtId="0" fontId="0" fillId="7" borderId="49" xfId="0" applyFill="1" applyBorder="1" applyProtection="1"/>
    <xf numFmtId="0" fontId="0" fillId="7" borderId="50" xfId="0" applyFill="1" applyBorder="1" applyProtection="1"/>
    <xf numFmtId="9" fontId="0" fillId="7" borderId="0" xfId="0" applyNumberFormat="1" applyFill="1" applyProtection="1"/>
    <xf numFmtId="0" fontId="1" fillId="7" borderId="34" xfId="0" applyFont="1" applyFill="1" applyBorder="1" applyProtection="1"/>
    <xf numFmtId="9" fontId="0" fillId="7" borderId="0" xfId="4" applyFont="1" applyFill="1" applyProtection="1"/>
    <xf numFmtId="9" fontId="0" fillId="3" borderId="24" xfId="0" applyNumberFormat="1" applyFill="1" applyBorder="1" applyProtection="1"/>
    <xf numFmtId="9" fontId="0" fillId="3" borderId="36" xfId="0" applyNumberFormat="1" applyFill="1" applyBorder="1" applyProtection="1"/>
    <xf numFmtId="0" fontId="0" fillId="0" borderId="38" xfId="0" applyBorder="1" applyProtection="1"/>
    <xf numFmtId="0" fontId="0" fillId="0" borderId="39" xfId="0" applyBorder="1" applyProtection="1"/>
    <xf numFmtId="2" fontId="0" fillId="11" borderId="36" xfId="11" applyNumberFormat="1" applyFont="1" applyFill="1" applyBorder="1" applyAlignment="1" applyProtection="1">
      <alignment horizontal="center"/>
    </xf>
    <xf numFmtId="0" fontId="0" fillId="7" borderId="39" xfId="0" applyFill="1" applyBorder="1" applyProtection="1"/>
    <xf numFmtId="9" fontId="0" fillId="0" borderId="0" xfId="0" applyNumberFormat="1" applyProtection="1"/>
    <xf numFmtId="0" fontId="0" fillId="0" borderId="19" xfId="0" applyBorder="1" applyProtection="1"/>
    <xf numFmtId="0" fontId="0" fillId="0" borderId="30" xfId="0" applyBorder="1" applyProtection="1"/>
    <xf numFmtId="0" fontId="0" fillId="0" borderId="42" xfId="0" applyBorder="1" applyProtection="1"/>
    <xf numFmtId="176" fontId="0" fillId="11" borderId="24" xfId="11" applyNumberFormat="1" applyFont="1" applyFill="1" applyBorder="1" applyAlignment="1" applyProtection="1">
      <alignment horizontal="center"/>
    </xf>
    <xf numFmtId="176" fontId="0" fillId="11" borderId="36" xfId="11" applyNumberFormat="1" applyFont="1" applyFill="1" applyBorder="1" applyAlignment="1" applyProtection="1">
      <alignment horizontal="center"/>
    </xf>
    <xf numFmtId="0" fontId="0" fillId="7" borderId="26" xfId="0" applyFill="1" applyBorder="1" applyProtection="1"/>
    <xf numFmtId="2" fontId="0" fillId="11" borderId="18" xfId="11" applyNumberFormat="1" applyFont="1" applyFill="1" applyBorder="1" applyAlignment="1" applyProtection="1">
      <alignment horizontal="center"/>
    </xf>
    <xf numFmtId="2" fontId="0" fillId="11" borderId="37" xfId="11" applyNumberFormat="1" applyFont="1" applyFill="1" applyBorder="1" applyAlignment="1" applyProtection="1">
      <alignment horizontal="center"/>
    </xf>
    <xf numFmtId="0" fontId="0" fillId="2" borderId="14" xfId="0" applyFill="1" applyBorder="1" applyProtection="1"/>
    <xf numFmtId="0" fontId="0" fillId="7" borderId="38" xfId="0" applyFill="1" applyBorder="1" applyProtection="1"/>
    <xf numFmtId="0" fontId="0" fillId="2" borderId="44" xfId="0" applyFill="1" applyBorder="1" applyProtection="1"/>
    <xf numFmtId="0" fontId="5" fillId="4" borderId="4" xfId="1" applyBorder="1" applyProtection="1"/>
    <xf numFmtId="0" fontId="5" fillId="4" borderId="6" xfId="1" applyBorder="1" applyProtection="1"/>
    <xf numFmtId="176" fontId="0" fillId="11" borderId="18" xfId="11" applyNumberFormat="1" applyFont="1" applyFill="1" applyBorder="1" applyAlignment="1" applyProtection="1">
      <alignment horizontal="center"/>
    </xf>
    <xf numFmtId="176" fontId="0" fillId="11" borderId="37" xfId="11" applyNumberFormat="1" applyFont="1" applyFill="1" applyBorder="1" applyAlignment="1" applyProtection="1">
      <alignment horizontal="center"/>
    </xf>
    <xf numFmtId="0" fontId="5" fillId="4" borderId="7" xfId="1" applyBorder="1" applyProtection="1"/>
    <xf numFmtId="9" fontId="5" fillId="4" borderId="13" xfId="1" applyNumberFormat="1" applyBorder="1" applyProtection="1"/>
    <xf numFmtId="0" fontId="5" fillId="4" borderId="14" xfId="1" applyBorder="1" applyProtection="1"/>
    <xf numFmtId="9" fontId="5" fillId="4" borderId="15" xfId="1" applyNumberFormat="1" applyBorder="1" applyProtection="1"/>
    <xf numFmtId="0" fontId="0" fillId="3" borderId="20" xfId="0" applyFill="1" applyBorder="1" applyProtection="1"/>
    <xf numFmtId="176" fontId="0" fillId="11" borderId="20" xfId="11" applyNumberFormat="1" applyFont="1" applyFill="1" applyBorder="1" applyAlignment="1" applyProtection="1">
      <alignment horizontal="center"/>
    </xf>
    <xf numFmtId="176" fontId="0" fillId="11" borderId="31" xfId="11" applyNumberFormat="1" applyFont="1" applyFill="1" applyBorder="1" applyAlignment="1" applyProtection="1">
      <alignment horizontal="center"/>
    </xf>
    <xf numFmtId="10" fontId="0" fillId="0" borderId="0" xfId="0" applyNumberFormat="1" applyProtection="1"/>
    <xf numFmtId="9" fontId="0" fillId="7" borderId="0" xfId="0" applyNumberFormat="1" applyFill="1" applyBorder="1" applyProtection="1"/>
    <xf numFmtId="1" fontId="0" fillId="7" borderId="0" xfId="0" applyNumberFormat="1" applyFill="1" applyProtection="1"/>
    <xf numFmtId="2" fontId="0" fillId="7" borderId="0" xfId="0" applyNumberFormat="1" applyFill="1" applyProtection="1"/>
    <xf numFmtId="0" fontId="4" fillId="7" borderId="0" xfId="0" applyFont="1" applyFill="1"/>
    <xf numFmtId="0" fontId="4" fillId="7" borderId="0" xfId="2" applyFont="1" applyFill="1"/>
    <xf numFmtId="0" fontId="4" fillId="7" borderId="2" xfId="5" applyFont="1" applyFill="1" applyAlignment="1">
      <alignment horizontal="center"/>
    </xf>
    <xf numFmtId="0" fontId="4" fillId="2" borderId="0" xfId="0" applyFont="1" applyFill="1" applyProtection="1">
      <protection locked="0"/>
    </xf>
    <xf numFmtId="9" fontId="4" fillId="2" borderId="0" xfId="4" applyFont="1" applyFill="1" applyProtection="1">
      <protection locked="0"/>
    </xf>
    <xf numFmtId="174" fontId="4" fillId="2" borderId="0" xfId="11" applyNumberFormat="1" applyFont="1" applyFill="1" applyProtection="1">
      <protection locked="0"/>
    </xf>
    <xf numFmtId="166" fontId="0" fillId="11" borderId="24" xfId="11" applyFont="1" applyFill="1" applyBorder="1" applyAlignment="1" applyProtection="1">
      <alignment horizontal="center"/>
    </xf>
    <xf numFmtId="0" fontId="0" fillId="7" borderId="3" xfId="0" applyFill="1" applyBorder="1" applyProtection="1"/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176" fontId="0" fillId="11" borderId="25" xfId="11" applyNumberFormat="1" applyFont="1" applyFill="1" applyBorder="1" applyAlignment="1" applyProtection="1">
      <alignment horizontal="center"/>
    </xf>
    <xf numFmtId="0" fontId="0" fillId="3" borderId="32" xfId="0" applyFill="1" applyBorder="1" applyAlignment="1" applyProtection="1">
      <alignment wrapText="1"/>
    </xf>
    <xf numFmtId="176" fontId="0" fillId="11" borderId="28" xfId="11" applyNumberFormat="1" applyFont="1" applyFill="1" applyBorder="1" applyAlignment="1" applyProtection="1">
      <alignment horizontal="center"/>
    </xf>
    <xf numFmtId="176" fontId="0" fillId="11" borderId="53" xfId="11" applyNumberFormat="1" applyFont="1" applyFill="1" applyBorder="1" applyAlignment="1" applyProtection="1">
      <alignment horizontal="center"/>
    </xf>
    <xf numFmtId="0" fontId="0" fillId="3" borderId="54" xfId="0" applyFill="1" applyBorder="1" applyAlignment="1" applyProtection="1">
      <alignment wrapText="1"/>
    </xf>
    <xf numFmtId="176" fontId="0" fillId="11" borderId="55" xfId="11" applyNumberFormat="1" applyFont="1" applyFill="1" applyBorder="1" applyAlignment="1" applyProtection="1">
      <alignment horizontal="center"/>
    </xf>
    <xf numFmtId="176" fontId="0" fillId="11" borderId="56" xfId="11" applyNumberFormat="1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176" fontId="0" fillId="11" borderId="57" xfId="11" applyNumberFormat="1" applyFont="1" applyFill="1" applyBorder="1" applyAlignment="1" applyProtection="1">
      <alignment horizontal="center"/>
    </xf>
    <xf numFmtId="177" fontId="0" fillId="7" borderId="0" xfId="4" applyNumberFormat="1" applyFont="1" applyFill="1" applyProtection="1"/>
    <xf numFmtId="0" fontId="22" fillId="7" borderId="1" xfId="13" applyFill="1" applyBorder="1" applyProtection="1">
      <protection locked="0"/>
    </xf>
    <xf numFmtId="0" fontId="1" fillId="7" borderId="0" xfId="0" applyFont="1" applyFill="1" applyProtection="1"/>
    <xf numFmtId="0" fontId="0" fillId="3" borderId="17" xfId="0" applyFill="1" applyBorder="1" applyAlignment="1" applyProtection="1">
      <alignment horizontal="left" wrapText="1"/>
    </xf>
    <xf numFmtId="0" fontId="0" fillId="3" borderId="16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0" fontId="0" fillId="3" borderId="7" xfId="0" applyFill="1" applyBorder="1" applyProtection="1"/>
    <xf numFmtId="9" fontId="23" fillId="7" borderId="0" xfId="4" applyFont="1" applyFill="1" applyProtection="1"/>
    <xf numFmtId="0" fontId="0" fillId="3" borderId="20" xfId="0" applyFill="1" applyBorder="1" applyAlignment="1" applyProtection="1">
      <alignment wrapText="1"/>
    </xf>
    <xf numFmtId="0" fontId="1" fillId="7" borderId="0" xfId="0" applyFont="1" applyFill="1" applyBorder="1" applyAlignment="1" applyProtection="1">
      <alignment horizontal="center"/>
    </xf>
    <xf numFmtId="0" fontId="0" fillId="7" borderId="0" xfId="0" applyFill="1" applyAlignment="1" applyProtection="1">
      <alignment horizontal="center" vertical="top" wrapText="1"/>
    </xf>
    <xf numFmtId="0" fontId="16" fillId="0" borderId="4" xfId="12" applyFont="1" applyBorder="1" applyAlignment="1">
      <alignment horizontal="center" vertical="center"/>
    </xf>
    <xf numFmtId="0" fontId="16" fillId="0" borderId="5" xfId="12" applyFont="1" applyBorder="1" applyAlignment="1">
      <alignment horizontal="center" vertical="center"/>
    </xf>
    <xf numFmtId="0" fontId="16" fillId="0" borderId="6" xfId="12" applyFont="1" applyBorder="1" applyAlignment="1">
      <alignment horizontal="center" vertical="center"/>
    </xf>
    <xf numFmtId="0" fontId="17" fillId="9" borderId="4" xfId="12" applyFont="1" applyFill="1" applyBorder="1" applyAlignment="1">
      <alignment horizontal="center" vertical="center"/>
    </xf>
    <xf numFmtId="0" fontId="17" fillId="9" borderId="5" xfId="12" applyFont="1" applyFill="1" applyBorder="1" applyAlignment="1">
      <alignment horizontal="center" vertical="center"/>
    </xf>
    <xf numFmtId="0" fontId="17" fillId="9" borderId="6" xfId="12" applyFont="1" applyFill="1" applyBorder="1" applyAlignment="1">
      <alignment horizontal="center" vertical="center"/>
    </xf>
    <xf numFmtId="0" fontId="17" fillId="9" borderId="7" xfId="12" applyFont="1" applyFill="1" applyBorder="1" applyAlignment="1">
      <alignment horizontal="center" vertical="center"/>
    </xf>
    <xf numFmtId="0" fontId="17" fillId="9" borderId="0" xfId="12" applyFont="1" applyFill="1" applyBorder="1" applyAlignment="1">
      <alignment horizontal="center" vertical="center"/>
    </xf>
    <xf numFmtId="0" fontId="17" fillId="0" borderId="8" xfId="12" applyFont="1" applyBorder="1" applyAlignment="1">
      <alignment horizontal="center" vertical="center"/>
    </xf>
    <xf numFmtId="0" fontId="17" fillId="0" borderId="9" xfId="12" applyFont="1" applyBorder="1" applyAlignment="1">
      <alignment horizontal="center" vertical="center"/>
    </xf>
    <xf numFmtId="0" fontId="17" fillId="0" borderId="10" xfId="12" applyFont="1" applyBorder="1" applyAlignment="1">
      <alignment horizontal="center" vertical="center"/>
    </xf>
    <xf numFmtId="0" fontId="17" fillId="0" borderId="12" xfId="12" applyFont="1" applyBorder="1" applyAlignment="1">
      <alignment horizontal="center" vertical="center"/>
    </xf>
    <xf numFmtId="0" fontId="19" fillId="0" borderId="4" xfId="12" applyFont="1" applyBorder="1" applyAlignment="1">
      <alignment horizontal="center" vertical="center"/>
    </xf>
    <xf numFmtId="0" fontId="19" fillId="0" borderId="5" xfId="12" applyFont="1" applyBorder="1" applyAlignment="1">
      <alignment horizontal="center" vertical="center"/>
    </xf>
    <xf numFmtId="0" fontId="19" fillId="0" borderId="6" xfId="12" applyFont="1" applyBorder="1" applyAlignment="1">
      <alignment horizontal="center" vertical="center"/>
    </xf>
    <xf numFmtId="0" fontId="20" fillId="9" borderId="4" xfId="12" applyFont="1" applyFill="1" applyBorder="1" applyAlignment="1">
      <alignment horizontal="center" vertical="center"/>
    </xf>
    <xf numFmtId="0" fontId="20" fillId="9" borderId="5" xfId="12" applyFont="1" applyFill="1" applyBorder="1" applyAlignment="1">
      <alignment horizontal="center" vertical="center"/>
    </xf>
    <xf numFmtId="0" fontId="20" fillId="9" borderId="6" xfId="12" applyFont="1" applyFill="1" applyBorder="1" applyAlignment="1">
      <alignment horizontal="center" vertical="center"/>
    </xf>
    <xf numFmtId="0" fontId="20" fillId="9" borderId="7" xfId="12" applyFont="1" applyFill="1" applyBorder="1" applyAlignment="1">
      <alignment horizontal="center" vertical="center"/>
    </xf>
    <xf numFmtId="0" fontId="20" fillId="9" borderId="0" xfId="12" applyFont="1" applyFill="1" applyBorder="1" applyAlignment="1">
      <alignment horizontal="center" vertical="center"/>
    </xf>
    <xf numFmtId="0" fontId="20" fillId="0" borderId="8" xfId="12" applyFont="1" applyBorder="1" applyAlignment="1">
      <alignment horizontal="center" vertical="center"/>
    </xf>
    <xf numFmtId="0" fontId="20" fillId="0" borderId="9" xfId="12" applyFont="1" applyBorder="1" applyAlignment="1">
      <alignment horizontal="center" vertical="center"/>
    </xf>
    <xf numFmtId="0" fontId="20" fillId="0" borderId="10" xfId="12" applyFont="1" applyBorder="1" applyAlignment="1">
      <alignment horizontal="center" vertical="center"/>
    </xf>
    <xf numFmtId="0" fontId="20" fillId="0" borderId="12" xfId="12" applyFont="1" applyBorder="1" applyAlignment="1">
      <alignment horizontal="center" vertical="center"/>
    </xf>
  </cellXfs>
  <cellStyles count="14">
    <cellStyle name="Comma 2" xfId="6" xr:uid="{00000000-0005-0000-0000-000000000000}"/>
    <cellStyle name="Comma 3" xfId="8" xr:uid="{00000000-0005-0000-0000-000001000000}"/>
    <cellStyle name="God" xfId="1" builtinId="26"/>
    <cellStyle name="Hyperkobling" xfId="13" builtinId="8"/>
    <cellStyle name="Inndata" xfId="5" builtinId="20"/>
    <cellStyle name="Komma" xfId="11" builtinId="3"/>
    <cellStyle name="Normal" xfId="0" builtinId="0"/>
    <cellStyle name="Normal 2" xfId="7" xr:uid="{00000000-0005-0000-0000-000007000000}"/>
    <cellStyle name="Normal 3" xfId="12" xr:uid="{00000000-0005-0000-0000-000008000000}"/>
    <cellStyle name="Normal 4" xfId="10" xr:uid="{00000000-0005-0000-0000-000009000000}"/>
    <cellStyle name="Nøytral" xfId="2" builtinId="28"/>
    <cellStyle name="Percent 2" xfId="9" xr:uid="{00000000-0005-0000-0000-00000B000000}"/>
    <cellStyle name="Prosent" xfId="4" builtinId="5"/>
    <cellStyle name="Valuta" xfId="3" builtinId="4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Kalkulator!$C$68</c:f>
              <c:strCache>
                <c:ptCount val="1"/>
                <c:pt idx="0">
                  <c:v>Nåverdi Beiteskade (Ved normal slutthogstalder)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Kalkulator!$B$70:$B$80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Kalkulator!$C$70:$C$80</c:f>
              <c:numCache>
                <c:formatCode>#\ ##0\ "kr"</c:formatCode>
                <c:ptCount val="11"/>
                <c:pt idx="0">
                  <c:v>1165.6511990404024</c:v>
                </c:pt>
                <c:pt idx="1">
                  <c:v>1313.2636376844034</c:v>
                </c:pt>
                <c:pt idx="2">
                  <c:v>1460.8760763284045</c:v>
                </c:pt>
                <c:pt idx="3">
                  <c:v>1608.4885149724053</c:v>
                </c:pt>
                <c:pt idx="4">
                  <c:v>1756.1009536164063</c:v>
                </c:pt>
                <c:pt idx="5">
                  <c:v>1903.7133922604071</c:v>
                </c:pt>
                <c:pt idx="6">
                  <c:v>2051.3258309044086</c:v>
                </c:pt>
                <c:pt idx="7">
                  <c:v>2198.9382695484092</c:v>
                </c:pt>
                <c:pt idx="8">
                  <c:v>2346.5507081924102</c:v>
                </c:pt>
                <c:pt idx="9">
                  <c:v>2494.1631468364112</c:v>
                </c:pt>
                <c:pt idx="10">
                  <c:v>2641.7755854804118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C-46D9-A898-9C6B0A4E0946}"/>
            </c:ext>
          </c:extLst>
        </c:ser>
        <c:ser>
          <c:idx val="2"/>
          <c:order val="1"/>
          <c:tx>
            <c:strRef>
              <c:f>Kalkulator!$D$68</c:f>
              <c:strCache>
                <c:ptCount val="1"/>
                <c:pt idx="0">
                  <c:v>Slakteverdi i dag med skade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Kalkulator!$B$70:$B$80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Kalkulator!$D$70:$D$80</c:f>
              <c:numCache>
                <c:formatCode>#\ ##0\ "kr"</c:formatCode>
                <c:ptCount val="11"/>
                <c:pt idx="0">
                  <c:v>1948.7099003546568</c:v>
                </c:pt>
                <c:pt idx="1">
                  <c:v>1984.9979003546568</c:v>
                </c:pt>
                <c:pt idx="2">
                  <c:v>2021.2859003546569</c:v>
                </c:pt>
                <c:pt idx="3">
                  <c:v>2057.5739003546569</c:v>
                </c:pt>
                <c:pt idx="4">
                  <c:v>2093.8619003546569</c:v>
                </c:pt>
                <c:pt idx="5">
                  <c:v>2130.1499003546569</c:v>
                </c:pt>
                <c:pt idx="6">
                  <c:v>2166.4379003546569</c:v>
                </c:pt>
                <c:pt idx="7">
                  <c:v>2202.7259003546569</c:v>
                </c:pt>
                <c:pt idx="8">
                  <c:v>2239.0139003546565</c:v>
                </c:pt>
                <c:pt idx="9">
                  <c:v>2275.3019003546569</c:v>
                </c:pt>
                <c:pt idx="10">
                  <c:v>2311.5899003546565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C-46D9-A898-9C6B0A4E0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618360"/>
        <c:axId val="557617704"/>
      </c:lineChart>
      <c:catAx>
        <c:axId val="557618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617704"/>
        <c:crosses val="autoZero"/>
        <c:auto val="1"/>
        <c:lblAlgn val="ctr"/>
        <c:lblOffset val="100"/>
        <c:noMultiLvlLbl val="0"/>
      </c:catAx>
      <c:valAx>
        <c:axId val="55761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r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61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Kalkulator!$C$68</c:f>
              <c:strCache>
                <c:ptCount val="1"/>
                <c:pt idx="0">
                  <c:v>Nåverdi Beiteskade (Ved normal slutthogstalder)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Kalkulator!$B$87:$B$97</c:f>
              <c:numCache>
                <c:formatCode>0.00</c:formatCode>
                <c:ptCount val="11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</c:numCache>
            </c:numRef>
          </c:cat>
          <c:val>
            <c:numRef>
              <c:f>Kalkulator!$C$87:$C$97</c:f>
              <c:numCache>
                <c:formatCode>#\ ##0\ "kr"</c:formatCode>
                <c:ptCount val="11"/>
                <c:pt idx="0">
                  <c:v>1577.21671657001</c:v>
                </c:pt>
                <c:pt idx="1">
                  <c:v>1698.6594796541012</c:v>
                </c:pt>
                <c:pt idx="2">
                  <c:v>1622.9723530074089</c:v>
                </c:pt>
                <c:pt idx="3">
                  <c:v>1709.1906155639231</c:v>
                </c:pt>
                <c:pt idx="4">
                  <c:v>1635.0714210053209</c:v>
                </c:pt>
                <c:pt idx="5">
                  <c:v>1682.2947342944058</c:v>
                </c:pt>
                <c:pt idx="6">
                  <c:v>1613.8289811339253</c:v>
                </c:pt>
                <c:pt idx="7">
                  <c:v>1613.0833196283818</c:v>
                </c:pt>
                <c:pt idx="8">
                  <c:v>1554.8569283745119</c:v>
                </c:pt>
                <c:pt idx="9">
                  <c:v>1504.413931766474</c:v>
                </c:pt>
                <c:pt idx="10">
                  <c:v>1460.6048144276047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5-4371-953F-2C540B39CCFB}"/>
            </c:ext>
          </c:extLst>
        </c:ser>
        <c:ser>
          <c:idx val="2"/>
          <c:order val="1"/>
          <c:tx>
            <c:strRef>
              <c:f>Kalkulator!$D$68</c:f>
              <c:strCache>
                <c:ptCount val="1"/>
                <c:pt idx="0">
                  <c:v>Slakteverdi i dag med skade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Kalkulator!$B$87:$B$97</c:f>
              <c:numCache>
                <c:formatCode>0.00</c:formatCode>
                <c:ptCount val="11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</c:numCache>
            </c:numRef>
          </c:cat>
          <c:val>
            <c:numRef>
              <c:f>Kalkulator!$D$87:$D$97</c:f>
              <c:numCache>
                <c:formatCode>#\ ##0\ "kr"</c:formatCode>
                <c:ptCount val="11"/>
                <c:pt idx="0">
                  <c:v>1714.553329384973</c:v>
                </c:pt>
                <c:pt idx="1">
                  <c:v>2131.9653093261945</c:v>
                </c:pt>
                <c:pt idx="2">
                  <c:v>1871.8204263595417</c:v>
                </c:pt>
                <c:pt idx="3">
                  <c:v>2168.1619683902259</c:v>
                </c:pt>
                <c:pt idx="4">
                  <c:v>1913.4062384754511</c:v>
                </c:pt>
                <c:pt idx="5">
                  <c:v>2075.7179003546566</c:v>
                </c:pt>
                <c:pt idx="6">
                  <c:v>1840.3936631656989</c:v>
                </c:pt>
                <c:pt idx="7">
                  <c:v>1837.8307435030483</c:v>
                </c:pt>
                <c:pt idx="8">
                  <c:v>1637.700306407502</c:v>
                </c:pt>
                <c:pt idx="9">
                  <c:v>1464.3222429180382</c:v>
                </c:pt>
                <c:pt idx="10">
                  <c:v>1313.7455437100953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5-4371-953F-2C540B39C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618360"/>
        <c:axId val="557617704"/>
      </c:lineChart>
      <c:catAx>
        <c:axId val="55761836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617704"/>
        <c:crosses val="autoZero"/>
        <c:auto val="1"/>
        <c:lblAlgn val="ctr"/>
        <c:lblOffset val="100"/>
        <c:noMultiLvlLbl val="0"/>
      </c:catAx>
      <c:valAx>
        <c:axId val="55761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r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61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Kalkulator!$C$68</c:f>
              <c:strCache>
                <c:ptCount val="1"/>
                <c:pt idx="0">
                  <c:v>Nåverdi Beiteskade (Ved normal slutthogstalder)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Kalkulator!$B$104:$B$114</c:f>
              <c:numCache>
                <c:formatCode>0.00</c:formatCode>
                <c:ptCount val="11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210</c:v>
                </c:pt>
                <c:pt idx="5">
                  <c:v>220</c:v>
                </c:pt>
                <c:pt idx="6">
                  <c:v>230</c:v>
                </c:pt>
                <c:pt idx="7">
                  <c:v>240</c:v>
                </c:pt>
                <c:pt idx="8">
                  <c:v>250</c:v>
                </c:pt>
                <c:pt idx="9">
                  <c:v>260</c:v>
                </c:pt>
                <c:pt idx="10">
                  <c:v>270</c:v>
                </c:pt>
              </c:numCache>
            </c:numRef>
          </c:cat>
          <c:val>
            <c:numRef>
              <c:f>Kalkulator!$C$104:$C$114</c:f>
              <c:numCache>
                <c:formatCode>#\ ##0\ "kr"</c:formatCode>
                <c:ptCount val="11"/>
                <c:pt idx="0">
                  <c:v>1491.7391638527283</c:v>
                </c:pt>
                <c:pt idx="1">
                  <c:v>1529.8502779410637</c:v>
                </c:pt>
                <c:pt idx="2">
                  <c:v>1567.9613920293991</c:v>
                </c:pt>
                <c:pt idx="3">
                  <c:v>1606.072506117735</c:v>
                </c:pt>
                <c:pt idx="4">
                  <c:v>1644.1836202060704</c:v>
                </c:pt>
                <c:pt idx="5">
                  <c:v>1682.2947342944058</c:v>
                </c:pt>
                <c:pt idx="6">
                  <c:v>1720.4058483827412</c:v>
                </c:pt>
                <c:pt idx="7">
                  <c:v>1758.5169624710768</c:v>
                </c:pt>
                <c:pt idx="8">
                  <c:v>1796.6280765594122</c:v>
                </c:pt>
                <c:pt idx="9">
                  <c:v>1834.7391906477478</c:v>
                </c:pt>
                <c:pt idx="10">
                  <c:v>1872.8503047360837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5-4DB4-923C-EFA36B88C0CB}"/>
            </c:ext>
          </c:extLst>
        </c:ser>
        <c:ser>
          <c:idx val="2"/>
          <c:order val="1"/>
          <c:tx>
            <c:strRef>
              <c:f>Kalkulator!$D$68</c:f>
              <c:strCache>
                <c:ptCount val="1"/>
                <c:pt idx="0">
                  <c:v>Slakteverdi i dag med skade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Kalkulator!$B$104:$B$114</c:f>
              <c:numCache>
                <c:formatCode>0.00</c:formatCode>
                <c:ptCount val="11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210</c:v>
                </c:pt>
                <c:pt idx="5">
                  <c:v>220</c:v>
                </c:pt>
                <c:pt idx="6">
                  <c:v>230</c:v>
                </c:pt>
                <c:pt idx="7">
                  <c:v>240</c:v>
                </c:pt>
                <c:pt idx="8">
                  <c:v>250</c:v>
                </c:pt>
                <c:pt idx="9">
                  <c:v>260</c:v>
                </c:pt>
                <c:pt idx="10">
                  <c:v>270</c:v>
                </c:pt>
              </c:numCache>
            </c:numRef>
          </c:cat>
          <c:val>
            <c:numRef>
              <c:f>Kalkulator!$D$104:$D$114</c:f>
              <c:numCache>
                <c:formatCode>#\ ##0\ "kr"</c:formatCode>
                <c:ptCount val="11"/>
                <c:pt idx="0">
                  <c:v>1967.5376876014843</c:v>
                </c:pt>
                <c:pt idx="1">
                  <c:v>1989.1737301521184</c:v>
                </c:pt>
                <c:pt idx="2">
                  <c:v>2010.809772702753</c:v>
                </c:pt>
                <c:pt idx="3">
                  <c:v>2032.4458152533873</c:v>
                </c:pt>
                <c:pt idx="4">
                  <c:v>2054.0818578040221</c:v>
                </c:pt>
                <c:pt idx="5">
                  <c:v>2075.7179003546566</c:v>
                </c:pt>
                <c:pt idx="6">
                  <c:v>2097.3539429052912</c:v>
                </c:pt>
                <c:pt idx="7">
                  <c:v>2118.9899854559258</c:v>
                </c:pt>
                <c:pt idx="8">
                  <c:v>2140.6260280065603</c:v>
                </c:pt>
                <c:pt idx="9">
                  <c:v>2162.2620705571949</c:v>
                </c:pt>
                <c:pt idx="10">
                  <c:v>2183.8981131078299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5-4DB4-923C-EFA36B88C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618360"/>
        <c:axId val="557617704"/>
      </c:lineChart>
      <c:catAx>
        <c:axId val="55761836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617704"/>
        <c:crosses val="autoZero"/>
        <c:auto val="1"/>
        <c:lblAlgn val="ctr"/>
        <c:lblOffset val="100"/>
        <c:noMultiLvlLbl val="0"/>
      </c:catAx>
      <c:valAx>
        <c:axId val="55761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r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61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FE!$B$24:$B$37</c:f>
              <c:numCache>
                <c:formatCode>General</c:formatCode>
                <c:ptCount val="1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</c:numCache>
            </c:numRef>
          </c:xVal>
          <c:yVal>
            <c:numRef>
              <c:f>FE!$L$24:$L$37</c:f>
              <c:numCache>
                <c:formatCode>_-* #\ ##0.00\ _k_r_-;\-* #\ ##0.00\ _k_r_-;_-* "-"??\ _k_r_-;_-@_-</c:formatCode>
                <c:ptCount val="14"/>
                <c:pt idx="0">
                  <c:v>0.2</c:v>
                </c:pt>
                <c:pt idx="1">
                  <c:v>0.93333333333333335</c:v>
                </c:pt>
                <c:pt idx="2">
                  <c:v>2.5499999999999998</c:v>
                </c:pt>
                <c:pt idx="3">
                  <c:v>4.96</c:v>
                </c:pt>
                <c:pt idx="4">
                  <c:v>7.7333333333333334</c:v>
                </c:pt>
                <c:pt idx="5">
                  <c:v>10.457142857142857</c:v>
                </c:pt>
                <c:pt idx="6">
                  <c:v>12.824999999999999</c:v>
                </c:pt>
                <c:pt idx="7">
                  <c:v>14.71111111111111</c:v>
                </c:pt>
                <c:pt idx="8">
                  <c:v>16.04</c:v>
                </c:pt>
                <c:pt idx="9">
                  <c:v>16.890909090909091</c:v>
                </c:pt>
                <c:pt idx="10">
                  <c:v>17.316666666666666</c:v>
                </c:pt>
                <c:pt idx="11">
                  <c:v>17.415384615384614</c:v>
                </c:pt>
                <c:pt idx="12">
                  <c:v>17.271428571428572</c:v>
                </c:pt>
                <c:pt idx="13">
                  <c:v>16.946666666666665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44-4F06-AB9E-AC74E4C528A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FE!$B$24:$B$37</c:f>
              <c:numCache>
                <c:formatCode>General</c:formatCode>
                <c:ptCount val="1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</c:numCache>
            </c:numRef>
          </c:xVal>
          <c:yVal>
            <c:numRef>
              <c:f>FE!$M$25:$M$37</c:f>
              <c:numCache>
                <c:formatCode>_-* #\ ##0\ _k_r_-;\-* #\ ##0\ _k_r_-;_-* "-"??\ _k_r_-;_-@_-</c:formatCode>
                <c:ptCount val="13"/>
                <c:pt idx="0">
                  <c:v>2.4</c:v>
                </c:pt>
                <c:pt idx="1">
                  <c:v>7.4</c:v>
                </c:pt>
                <c:pt idx="2">
                  <c:v>14.6</c:v>
                </c:pt>
                <c:pt idx="3">
                  <c:v>21.6</c:v>
                </c:pt>
                <c:pt idx="4">
                  <c:v>26.8</c:v>
                </c:pt>
                <c:pt idx="5">
                  <c:v>29.4</c:v>
                </c:pt>
                <c:pt idx="6">
                  <c:v>29.8</c:v>
                </c:pt>
                <c:pt idx="7">
                  <c:v>28</c:v>
                </c:pt>
                <c:pt idx="8">
                  <c:v>25.4</c:v>
                </c:pt>
                <c:pt idx="9">
                  <c:v>22</c:v>
                </c:pt>
                <c:pt idx="10">
                  <c:v>18.600000000000001</c:v>
                </c:pt>
                <c:pt idx="11">
                  <c:v>15.4</c:v>
                </c:pt>
                <c:pt idx="12">
                  <c:v>12.4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44-4F06-AB9E-AC74E4C5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663647"/>
        <c:axId val="1489173775"/>
      </c:scatterChart>
      <c:valAx>
        <c:axId val="16466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89173775"/>
        <c:crosses val="autoZero"/>
        <c:crossBetween val="midCat"/>
      </c:valAx>
      <c:valAx>
        <c:axId val="148917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k_r_-;\-* #\ ##0.00\ _k_r_-;_-* &quot;-&quot;??\ _k_r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6663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FE!$B$24:$B$37</c:f>
              <c:numCache>
                <c:formatCode>General</c:formatCode>
                <c:ptCount val="1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</c:numCache>
            </c:numRef>
          </c:xVal>
          <c:yVal>
            <c:numRef>
              <c:f>FE!$L$3:$L$15</c:f>
              <c:numCache>
                <c:formatCode>_-* #\ ##0.00\ _k_r_-;\-* #\ ##0.00\ _k_r_-;_-* "-"??\ _k_r_-;_-@_-</c:formatCode>
                <c:ptCount val="13"/>
                <c:pt idx="0">
                  <c:v>0</c:v>
                </c:pt>
                <c:pt idx="1">
                  <c:v>2.4000000000000004</c:v>
                </c:pt>
                <c:pt idx="2">
                  <c:v>2.3199999999999998</c:v>
                </c:pt>
                <c:pt idx="3">
                  <c:v>3.2400000000000007</c:v>
                </c:pt>
                <c:pt idx="4">
                  <c:v>3.4240000000000004</c:v>
                </c:pt>
                <c:pt idx="5">
                  <c:v>3.0666666666666673</c:v>
                </c:pt>
                <c:pt idx="6">
                  <c:v>3.6114285714285717</c:v>
                </c:pt>
                <c:pt idx="7">
                  <c:v>3.85</c:v>
                </c:pt>
                <c:pt idx="8">
                  <c:v>4.0266666666666673</c:v>
                </c:pt>
                <c:pt idx="9">
                  <c:v>4.1440000000000001</c:v>
                </c:pt>
                <c:pt idx="10">
                  <c:v>3.7672727272727271</c:v>
                </c:pt>
                <c:pt idx="11">
                  <c:v>3.4533333333333331</c:v>
                </c:pt>
                <c:pt idx="12">
                  <c:v>3.1876923076923074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0E-4AF3-9BF4-9258DB46F67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FE!$B$24:$B$37</c:f>
              <c:numCache>
                <c:formatCode>General</c:formatCode>
                <c:ptCount val="1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</c:numCache>
            </c:numRef>
          </c:xVal>
          <c:yVal>
            <c:numRef>
              <c:f>FE!$M$3:$M$15</c:f>
              <c:numCache>
                <c:formatCode>General</c:formatCode>
                <c:ptCount val="13"/>
                <c:pt idx="2" formatCode="_-* #\ ##0\ _k_r_-;\-* #\ ##0\ _k_r_-;_-* &quot;-&quot;??\ _k_r_-;_-@_-">
                  <c:v>2.1599999999999988</c:v>
                </c:pt>
                <c:pt idx="3" formatCode="_-* #\ ##0\ _k_r_-;\-* #\ ##0\ _k_r_-;_-* &quot;-&quot;??\ _k_r_-;_-@_-">
                  <c:v>6.0000000000000027</c:v>
                </c:pt>
                <c:pt idx="4" formatCode="_-* #\ ##0\ _k_r_-;\-* #\ ##0\ _k_r_-;_-* &quot;-&quot;??\ _k_r_-;_-@_-">
                  <c:v>4.1599999999999993</c:v>
                </c:pt>
                <c:pt idx="5" formatCode="_-* #\ ##0\ _k_r_-;\-* #\ ##0\ _k_r_-;_-* &quot;-&quot;??\ _k_r_-;_-@_-">
                  <c:v>1.2800000000000011</c:v>
                </c:pt>
                <c:pt idx="6" formatCode="_-* #\ ##0\ _k_r_-;\-* #\ ##0\ _k_r_-;_-* &quot;-&quot;??\ _k_r_-;_-@_-">
                  <c:v>6.8799999999999981</c:v>
                </c:pt>
                <c:pt idx="7" formatCode="_-* #\ ##0\ _k_r_-;\-* #\ ##0\ _k_r_-;_-* &quot;-&quot;??\ _k_r_-;_-@_-">
                  <c:v>5.5199999999999987</c:v>
                </c:pt>
                <c:pt idx="8" formatCode="_-* #\ ##0\ _k_r_-;\-* #\ ##0\ _k_r_-;_-* &quot;-&quot;??\ _k_r_-;_-@_-">
                  <c:v>5.4400000000000031</c:v>
                </c:pt>
                <c:pt idx="9" formatCode="_-* #\ ##0\ _k_r_-;\-* #\ ##0\ _k_r_-;_-* &quot;-&quot;??\ _k_r_-;_-@_-">
                  <c:v>5.199999999999994</c:v>
                </c:pt>
                <c:pt idx="10" formatCode="_-* #\ ##0\ _k_r_-;\-* #\ ##0\ _k_r_-;_-* &quot;-&quot;??\ _k_r_-;_-@_-">
                  <c:v>0</c:v>
                </c:pt>
                <c:pt idx="11" formatCode="_-* #\ ##0\ _k_r_-;\-* #\ ##0\ _k_r_-;_-* &quot;-&quot;??\ _k_r_-;_-@_-">
                  <c:v>0</c:v>
                </c:pt>
                <c:pt idx="12" formatCode="_-* #\ ##0\ _k_r_-;\-* #\ ##0\ _k_r_-;_-* &quot;-&quot;??\ _k_r_-;_-@_-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0E-4AF3-9BF4-9258DB46F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663647"/>
        <c:axId val="1489173775"/>
      </c:scatterChart>
      <c:valAx>
        <c:axId val="16466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89173775"/>
        <c:crosses val="autoZero"/>
        <c:crossBetween val="midCat"/>
      </c:valAx>
      <c:valAx>
        <c:axId val="148917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k_r_-;\-* #\ ##0.00\ _k_r_-;_-* &quot;-&quot;??\ _k_r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6663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'F8'!$B$5:$B$15</c:f>
              <c:numCache>
                <c:formatCode>General</c:formatCode>
                <c:ptCount val="11"/>
                <c:pt idx="0">
                  <c:v>45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145</c:v>
                </c:pt>
              </c:numCache>
            </c:numRef>
          </c:cat>
          <c:val>
            <c:numRef>
              <c:f>'F8'!$V$6:$V$15</c:f>
              <c:numCache>
                <c:formatCode>0.0</c:formatCode>
                <c:ptCount val="10"/>
                <c:pt idx="0">
                  <c:v>2.2000000000000002</c:v>
                </c:pt>
                <c:pt idx="1">
                  <c:v>2.8</c:v>
                </c:pt>
                <c:pt idx="2">
                  <c:v>2.9</c:v>
                </c:pt>
                <c:pt idx="3">
                  <c:v>3.1</c:v>
                </c:pt>
                <c:pt idx="4">
                  <c:v>3.1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2.2000000000000002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2-4319-9110-22C06EBA5C0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'F8'!$B$5:$B$15</c:f>
              <c:numCache>
                <c:formatCode>General</c:formatCode>
                <c:ptCount val="11"/>
                <c:pt idx="0">
                  <c:v>45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145</c:v>
                </c:pt>
              </c:numCache>
            </c:numRef>
          </c:cat>
          <c:val>
            <c:numRef>
              <c:f>'F8'!$S$5:$S$15</c:f>
              <c:numCache>
                <c:formatCode>0.0</c:formatCode>
                <c:ptCount val="11"/>
                <c:pt idx="0">
                  <c:v>0.81666666666666665</c:v>
                </c:pt>
                <c:pt idx="1">
                  <c:v>0.92307692307692313</c:v>
                </c:pt>
                <c:pt idx="2">
                  <c:v>1.1733333333333333</c:v>
                </c:pt>
                <c:pt idx="3">
                  <c:v>1.3764705882352941</c:v>
                </c:pt>
                <c:pt idx="4">
                  <c:v>1.5578947368421052</c:v>
                </c:pt>
                <c:pt idx="5">
                  <c:v>1.7142857142857142</c:v>
                </c:pt>
                <c:pt idx="6">
                  <c:v>1.7826086956521738</c:v>
                </c:pt>
                <c:pt idx="7">
                  <c:v>1.8560000000000001</c:v>
                </c:pt>
                <c:pt idx="8">
                  <c:v>1.9037037037037037</c:v>
                </c:pt>
                <c:pt idx="9">
                  <c:v>1.9241379310344828</c:v>
                </c:pt>
                <c:pt idx="10">
                  <c:v>1.9312499999999999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A-4906-9E31-CE3E31C5B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3739904"/>
        <c:axId val="1920179472"/>
      </c:lineChart>
      <c:catAx>
        <c:axId val="20037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20179472"/>
        <c:crosses val="autoZero"/>
        <c:auto val="1"/>
        <c:lblAlgn val="ctr"/>
        <c:lblOffset val="100"/>
        <c:noMultiLvlLbl val="0"/>
      </c:catAx>
      <c:valAx>
        <c:axId val="192017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0373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'F20'!$Y$4</c:f>
              <c:strCache>
                <c:ptCount val="1"/>
                <c:pt idx="0">
                  <c:v>V     (m3/år)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'F20'!$Y$5:$Y$18</c:f>
              <c:numCache>
                <c:formatCode>0.0</c:formatCode>
                <c:ptCount val="14"/>
                <c:pt idx="0">
                  <c:v>3</c:v>
                </c:pt>
                <c:pt idx="1">
                  <c:v>4.0384615384615383</c:v>
                </c:pt>
                <c:pt idx="2">
                  <c:v>5.161290322580645</c:v>
                </c:pt>
                <c:pt idx="3">
                  <c:v>6.0810810810810807</c:v>
                </c:pt>
                <c:pt idx="4">
                  <c:v>7.0232558139534884</c:v>
                </c:pt>
                <c:pt idx="5">
                  <c:v>7.666666666666667</c:v>
                </c:pt>
                <c:pt idx="6">
                  <c:v>8</c:v>
                </c:pt>
                <c:pt idx="7">
                  <c:v>8.3965517241379306</c:v>
                </c:pt>
                <c:pt idx="8">
                  <c:v>8.6984126984126977</c:v>
                </c:pt>
                <c:pt idx="9">
                  <c:v>8.9142857142857146</c:v>
                </c:pt>
                <c:pt idx="10">
                  <c:v>9.0399999999999991</c:v>
                </c:pt>
                <c:pt idx="11">
                  <c:v>9.1624999999999996</c:v>
                </c:pt>
                <c:pt idx="12">
                  <c:v>9.2588235294117656</c:v>
                </c:pt>
                <c:pt idx="13">
                  <c:v>9.3333333333333339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6-4C01-B7AB-3685BA91076D}"/>
            </c:ext>
          </c:extLst>
        </c:ser>
        <c:ser>
          <c:idx val="1"/>
          <c:order val="1"/>
          <c:tx>
            <c:strRef>
              <c:f>'F20'!$Z$4</c:f>
              <c:strCache>
                <c:ptCount val="1"/>
                <c:pt idx="0">
                  <c:v>V     (m3/år)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'F20'!$Z$5:$Z$18</c:f>
              <c:numCache>
                <c:formatCode>General</c:formatCode>
                <c:ptCount val="14"/>
                <c:pt idx="0">
                  <c:v>0</c:v>
                </c:pt>
                <c:pt idx="1">
                  <c:v>8.4</c:v>
                </c:pt>
                <c:pt idx="2">
                  <c:v>11</c:v>
                </c:pt>
                <c:pt idx="3">
                  <c:v>10.9</c:v>
                </c:pt>
                <c:pt idx="4">
                  <c:v>12.8</c:v>
                </c:pt>
                <c:pt idx="5">
                  <c:v>13.2</c:v>
                </c:pt>
                <c:pt idx="6">
                  <c:v>11.3</c:v>
                </c:pt>
                <c:pt idx="7">
                  <c:v>12.7</c:v>
                </c:pt>
                <c:pt idx="8">
                  <c:v>12.3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10.9</c:v>
                </c:pt>
                <c:pt idx="13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6-4C01-B7AB-3685BA91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620896"/>
        <c:axId val="1143596304"/>
      </c:lineChart>
      <c:catAx>
        <c:axId val="1148620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3596304"/>
        <c:crosses val="autoZero"/>
        <c:auto val="1"/>
        <c:lblAlgn val="ctr"/>
        <c:lblOffset val="100"/>
        <c:noMultiLvlLbl val="0"/>
      </c:catAx>
      <c:valAx>
        <c:axId val="11435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862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47625</xdr:rowOff>
    </xdr:from>
    <xdr:to>
      <xdr:col>3</xdr:col>
      <xdr:colOff>1322720</xdr:colOff>
      <xdr:row>1</xdr:row>
      <xdr:rowOff>80772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47625"/>
          <a:ext cx="1002792" cy="271272"/>
        </a:xfrm>
        <a:prstGeom prst="rect">
          <a:avLst/>
        </a:prstGeom>
      </xdr:spPr>
    </xdr:pic>
    <xdr:clientData/>
  </xdr:twoCellAnchor>
  <xdr:twoCellAnchor>
    <xdr:from>
      <xdr:col>9</xdr:col>
      <xdr:colOff>723899</xdr:colOff>
      <xdr:row>1</xdr:row>
      <xdr:rowOff>77695</xdr:rowOff>
    </xdr:from>
    <xdr:to>
      <xdr:col>12</xdr:col>
      <xdr:colOff>614269</xdr:colOff>
      <xdr:row>17</xdr:row>
      <xdr:rowOff>170254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439117-62DE-4EA7-A3D8-8DABB3E3E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723899</xdr:colOff>
      <xdr:row>39</xdr:row>
      <xdr:rowOff>167342</xdr:rowOff>
    </xdr:from>
    <xdr:to>
      <xdr:col>12</xdr:col>
      <xdr:colOff>623794</xdr:colOff>
      <xdr:row>58</xdr:row>
      <xdr:rowOff>136637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72872BB-D8B9-4F30-8E42-CA598F0F9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723899</xdr:colOff>
      <xdr:row>19</xdr:row>
      <xdr:rowOff>184151</xdr:rowOff>
    </xdr:from>
    <xdr:to>
      <xdr:col>12</xdr:col>
      <xdr:colOff>623794</xdr:colOff>
      <xdr:row>37</xdr:row>
      <xdr:rowOff>153445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82955104-B550-415A-9D56-3011E4C78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21430</xdr:colOff>
      <xdr:row>22</xdr:row>
      <xdr:rowOff>769143</xdr:rowOff>
    </xdr:from>
    <xdr:to>
      <xdr:col>21</xdr:col>
      <xdr:colOff>59530</xdr:colOff>
      <xdr:row>37</xdr:row>
      <xdr:rowOff>73818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FC69FF-353E-445B-9553-7AF238979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2</xdr:row>
      <xdr:rowOff>0</xdr:rowOff>
    </xdr:from>
    <xdr:to>
      <xdr:col>20</xdr:col>
      <xdr:colOff>371475</xdr:colOff>
      <xdr:row>17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9FECC9-7916-4AD2-B743-EEB887E32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196849</xdr:colOff>
      <xdr:row>6</xdr:row>
      <xdr:rowOff>95249</xdr:rowOff>
    </xdr:from>
    <xdr:to>
      <xdr:col>29</xdr:col>
      <xdr:colOff>641349</xdr:colOff>
      <xdr:row>12</xdr:row>
      <xdr:rowOff>323849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0C3DD0-49C6-4655-9BE8-4D2FEE82C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450849</xdr:colOff>
      <xdr:row>7</xdr:row>
      <xdr:rowOff>107949</xdr:rowOff>
    </xdr:from>
    <xdr:to>
      <xdr:col>15</xdr:col>
      <xdr:colOff>260349</xdr:colOff>
      <xdr:row>13</xdr:row>
      <xdr:rowOff>336549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8DEDAB-0D24-409B-BA5E-F40C7E237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jsandv\Dropbox\Norskog\Skog&#248;konomi\NPV%2520of%25201ha%2520main%2520species%2520F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(2)"/>
      <sheetName val="Assumptions"/>
      <sheetName val="Pine"/>
      <sheetName val="Spruce"/>
      <sheetName val="Sum"/>
    </sheetNames>
    <sheetDataSet>
      <sheetData sheetId="0" refreshError="1"/>
      <sheetData sheetId="1"/>
      <sheetData sheetId="2" refreshError="1"/>
      <sheetData sheetId="3">
        <row r="27">
          <cell r="B27">
            <v>5.2499999999999998E-2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U180"/>
  <sheetViews>
    <sheetView tabSelected="1" zoomScale="85" zoomScaleNormal="85" workbookViewId="0">
      <selection activeCell="D6" sqref="D6"/>
    </sheetView>
  </sheetViews>
  <sheetFormatPr baseColWidth="10" defaultColWidth="11.42578125" defaultRowHeight="15" x14ac:dyDescent="0.25"/>
  <cols>
    <col min="1" max="1" width="37.85546875" style="1" customWidth="1"/>
    <col min="2" max="2" width="22" style="1" bestFit="1" customWidth="1"/>
    <col min="3" max="3" width="22.42578125" style="1" customWidth="1"/>
    <col min="4" max="4" width="38.28515625" style="1" bestFit="1" customWidth="1"/>
    <col min="5" max="6" width="22.42578125" style="1" customWidth="1"/>
    <col min="7" max="7" width="15.140625" style="1" customWidth="1"/>
    <col min="8" max="8" width="14.85546875" style="1" customWidth="1"/>
    <col min="9" max="9" width="21.28515625" style="109" bestFit="1" customWidth="1"/>
    <col min="10" max="10" width="20.85546875" style="109" customWidth="1"/>
    <col min="11" max="11" width="33.140625" style="109" bestFit="1" customWidth="1"/>
    <col min="12" max="12" width="23.140625" style="109" bestFit="1" customWidth="1"/>
    <col min="13" max="13" width="20.85546875" style="109" customWidth="1"/>
    <col min="14" max="14" width="29" style="109" bestFit="1" customWidth="1"/>
    <col min="15" max="15" width="31.85546875" style="109" bestFit="1" customWidth="1"/>
    <col min="16" max="21" width="2.85546875" style="109" bestFit="1" customWidth="1"/>
    <col min="22" max="42" width="3.85546875" style="109" bestFit="1" customWidth="1"/>
    <col min="43" max="47" width="4.85546875" style="109" bestFit="1" customWidth="1"/>
    <col min="48" max="48" width="8.5703125" style="1" bestFit="1" customWidth="1"/>
    <col min="49" max="16384" width="11.42578125" style="1"/>
  </cols>
  <sheetData>
    <row r="1" spans="1:9" ht="18.75" x14ac:dyDescent="0.3">
      <c r="A1" s="172" t="s">
        <v>16</v>
      </c>
      <c r="B1" s="109"/>
      <c r="C1" s="109"/>
      <c r="D1" s="109"/>
      <c r="E1" s="109"/>
      <c r="F1" s="109"/>
      <c r="G1" s="109"/>
      <c r="H1" s="109"/>
    </row>
    <row r="2" spans="1:9" x14ac:dyDescent="0.25">
      <c r="A2" s="109"/>
      <c r="B2" s="109"/>
      <c r="C2" s="109"/>
      <c r="D2" s="173"/>
      <c r="E2" s="109"/>
      <c r="F2" s="109"/>
      <c r="G2" s="109"/>
      <c r="H2" s="109"/>
    </row>
    <row r="3" spans="1:9" x14ac:dyDescent="0.25">
      <c r="A3" s="109" t="s">
        <v>132</v>
      </c>
      <c r="B3" s="175"/>
      <c r="C3" s="109"/>
      <c r="D3" s="109"/>
      <c r="E3" s="109"/>
      <c r="F3" s="109"/>
      <c r="G3" s="109"/>
      <c r="H3" s="109"/>
    </row>
    <row r="4" spans="1:9" ht="19.5" thickBot="1" x14ac:dyDescent="0.35">
      <c r="A4" s="108" t="s">
        <v>30</v>
      </c>
      <c r="B4" s="233"/>
      <c r="C4" s="243" t="s">
        <v>142</v>
      </c>
      <c r="D4" s="243"/>
      <c r="E4" s="255" t="s">
        <v>143</v>
      </c>
      <c r="F4" s="255"/>
      <c r="G4" s="109"/>
      <c r="H4" s="109"/>
    </row>
    <row r="5" spans="1:9" ht="60.75" x14ac:dyDescent="0.3">
      <c r="A5" s="5" t="s">
        <v>123</v>
      </c>
      <c r="B5" s="135" t="s">
        <v>80</v>
      </c>
      <c r="C5" s="234" t="s">
        <v>144</v>
      </c>
      <c r="D5" s="235" t="s">
        <v>116</v>
      </c>
      <c r="E5" s="237" t="s">
        <v>140</v>
      </c>
      <c r="F5" s="240" t="s">
        <v>29</v>
      </c>
      <c r="G5" s="219" t="s">
        <v>36</v>
      </c>
      <c r="H5" s="254" t="s">
        <v>197</v>
      </c>
      <c r="I5" s="6" t="str">
        <f t="shared" ref="I5:I8" si="0">E55</f>
        <v>Grunnverdi H40/daa</v>
      </c>
    </row>
    <row r="6" spans="1:9" x14ac:dyDescent="0.25">
      <c r="A6" s="6" t="s">
        <v>11</v>
      </c>
      <c r="B6" s="187">
        <v>2.5000000000000001E-2</v>
      </c>
      <c r="C6" s="203">
        <f>(Netto_normal*$C$44)*(1/(1+Rentefot_1)^Slutthogst_normal)+($E$56)*(1/(1+Rentefot_1)^Slutthogst_normal)</f>
        <v>4012.462515746136</v>
      </c>
      <c r="D6" s="236">
        <f>($D$48*$D$52)+$E56</f>
        <v>2070.5339003546569</v>
      </c>
      <c r="E6" s="238">
        <f>(Netto_skade*$E$44)*(1/(1+Rentefot_1)^Slutthogst_normal)+($E$56)*(1/(1+Rentefot_1)^Slutthogst_normal)</f>
        <v>1682.2947342944058</v>
      </c>
      <c r="F6" s="241">
        <f>($F$48*$F$52)+$E56</f>
        <v>2075.7179003546566</v>
      </c>
      <c r="G6" s="220">
        <f>E6-F6</f>
        <v>-393.42316606025088</v>
      </c>
      <c r="H6" s="181" t="str">
        <f>IF(G6&lt;0,"Lønnsomt","Ikke lønnsomt")</f>
        <v>Lønnsomt</v>
      </c>
      <c r="I6" s="181">
        <f t="shared" si="0"/>
        <v>1832.0699003546567</v>
      </c>
    </row>
    <row r="7" spans="1:9" x14ac:dyDescent="0.25">
      <c r="A7" s="6" t="s">
        <v>12</v>
      </c>
      <c r="B7" s="7">
        <v>0.03</v>
      </c>
      <c r="C7" s="203">
        <f>(Netto_normal*$C$44)*(1/(1+Rentefot_2)^Slutthogst_normal)+($E$56)*(1/(1+Rentefot_2)^Slutthogst_normal)</f>
        <v>3145.8863035622326</v>
      </c>
      <c r="D7" s="236">
        <f>($D$48*$D$52)+$E57</f>
        <v>1371.9459954649997</v>
      </c>
      <c r="E7" s="238">
        <f>((Netto_skade*$E$44)*(1/(1+Rentefot_2)^Slutthogst_normal)+($E$56)*(1/(1+Rentefot_2)^Slutthogst_normal))</f>
        <v>1318.9675772429009</v>
      </c>
      <c r="F7" s="241">
        <f>($F$48*$F$52)+$E57</f>
        <v>1377.1299954649994</v>
      </c>
      <c r="G7" s="220">
        <f t="shared" ref="G7:G8" si="1">E7-F7</f>
        <v>-58.162418222098495</v>
      </c>
      <c r="H7" s="181" t="str">
        <f>IF(G7&lt;0,"Lønnsomt","Ikke lønnsomt")</f>
        <v>Lønnsomt</v>
      </c>
      <c r="I7" s="181">
        <f t="shared" si="0"/>
        <v>1133.4819954649995</v>
      </c>
    </row>
    <row r="8" spans="1:9" ht="15.75" thickBot="1" x14ac:dyDescent="0.3">
      <c r="A8" s="6" t="s">
        <v>13</v>
      </c>
      <c r="B8" s="7">
        <f>B7+0.01</f>
        <v>0.04</v>
      </c>
      <c r="C8" s="221">
        <f>(Netto_normal*$C$44)*(1/(1+Rentefot_3)^Slutthogst_normal)+($E$56)*(1/(1+Rentefot_3)^Slutthogst_normal)</f>
        <v>1940.6056564454877</v>
      </c>
      <c r="D8" s="244">
        <f>($B$28*$C$52)+$E58</f>
        <v>455.197568274118</v>
      </c>
      <c r="E8" s="239">
        <f>((Netto_skade*$E$44)*(1/(1+Rentefot_3)^Slutthogst_normal)+($E$56)*(1/(1+Rentefot_3)^Slutthogst_normal))</f>
        <v>813.63269173695994</v>
      </c>
      <c r="F8" s="242">
        <f>($F$48*$F$52)+$E58</f>
        <v>698.84556827411802</v>
      </c>
      <c r="G8" s="220">
        <f t="shared" si="1"/>
        <v>114.78712346284192</v>
      </c>
      <c r="H8" s="181" t="str">
        <f>IF(G8&lt;0,"Lønnsomt","Ikke lønnsomt")</f>
        <v>Ikke lønnsomt</v>
      </c>
      <c r="I8" s="181">
        <f t="shared" si="0"/>
        <v>455.197568274118</v>
      </c>
    </row>
    <row r="9" spans="1:9" x14ac:dyDescent="0.25">
      <c r="A9" s="109"/>
      <c r="B9" s="175"/>
      <c r="C9" s="109"/>
      <c r="D9" s="109"/>
      <c r="E9" s="109"/>
      <c r="F9" s="109"/>
      <c r="G9" s="109"/>
      <c r="H9" s="109"/>
    </row>
    <row r="10" spans="1:9" x14ac:dyDescent="0.25">
      <c r="A10" s="109"/>
      <c r="B10" s="175"/>
      <c r="C10" s="109"/>
      <c r="D10" s="109"/>
      <c r="E10" s="109"/>
      <c r="F10" s="109"/>
      <c r="G10" s="109"/>
      <c r="H10" s="109"/>
    </row>
    <row r="11" spans="1:9" x14ac:dyDescent="0.25">
      <c r="A11" s="109"/>
      <c r="B11" s="109"/>
      <c r="C11" s="109"/>
      <c r="D11" s="109"/>
      <c r="E11" s="109"/>
      <c r="F11" s="109"/>
      <c r="G11" s="109"/>
      <c r="H11" s="109"/>
    </row>
    <row r="12" spans="1:9" x14ac:dyDescent="0.25">
      <c r="A12" s="109"/>
      <c r="B12" s="109"/>
      <c r="C12" s="109"/>
      <c r="D12" s="247" t="s">
        <v>165</v>
      </c>
      <c r="E12" s="109"/>
      <c r="G12" s="109"/>
      <c r="H12" s="109"/>
    </row>
    <row r="13" spans="1:9" x14ac:dyDescent="0.25">
      <c r="A13" s="109"/>
      <c r="B13" s="109"/>
      <c r="C13" s="109"/>
      <c r="D13" s="109"/>
      <c r="E13" s="109"/>
      <c r="F13" s="8" t="s">
        <v>21</v>
      </c>
      <c r="G13" s="109"/>
      <c r="H13" s="109"/>
    </row>
    <row r="14" spans="1:9" x14ac:dyDescent="0.25">
      <c r="A14" s="130" t="s">
        <v>0</v>
      </c>
      <c r="B14" s="6" t="s">
        <v>10</v>
      </c>
      <c r="C14" s="109"/>
      <c r="D14" s="247" t="s">
        <v>0</v>
      </c>
      <c r="E14" s="109"/>
      <c r="F14" s="174" t="s">
        <v>22</v>
      </c>
      <c r="G14" s="109"/>
      <c r="H14" s="109"/>
    </row>
    <row r="15" spans="1:9" x14ac:dyDescent="0.25">
      <c r="A15" s="6" t="s">
        <v>1</v>
      </c>
      <c r="B15" s="2">
        <v>17</v>
      </c>
      <c r="C15" s="109" t="s">
        <v>164</v>
      </c>
      <c r="D15" s="109" t="s">
        <v>171</v>
      </c>
      <c r="E15" s="109"/>
      <c r="F15" s="176" t="s">
        <v>132</v>
      </c>
      <c r="G15" s="109"/>
      <c r="H15" s="109"/>
    </row>
    <row r="16" spans="1:9" x14ac:dyDescent="0.25">
      <c r="A16" s="6" t="s">
        <v>2</v>
      </c>
      <c r="B16" s="2">
        <v>40</v>
      </c>
      <c r="C16" s="109" t="s">
        <v>163</v>
      </c>
      <c r="D16" s="109" t="s">
        <v>172</v>
      </c>
      <c r="E16" s="109"/>
      <c r="F16" s="109"/>
      <c r="G16" s="109"/>
      <c r="H16" s="109"/>
    </row>
    <row r="17" spans="1:8" x14ac:dyDescent="0.25">
      <c r="A17" s="6" t="s">
        <v>134</v>
      </c>
      <c r="B17" s="128">
        <v>0</v>
      </c>
      <c r="C17" s="109" t="s">
        <v>163</v>
      </c>
      <c r="D17" s="109" t="s">
        <v>173</v>
      </c>
      <c r="E17" s="109"/>
      <c r="F17" s="109"/>
      <c r="G17" s="109"/>
      <c r="H17" s="109"/>
    </row>
    <row r="18" spans="1:8" x14ac:dyDescent="0.25">
      <c r="A18" s="135" t="s">
        <v>149</v>
      </c>
      <c r="B18" s="65">
        <v>0</v>
      </c>
      <c r="C18" s="109" t="s">
        <v>80</v>
      </c>
      <c r="D18" s="109" t="s">
        <v>174</v>
      </c>
      <c r="E18" s="109"/>
      <c r="F18" s="109"/>
      <c r="G18" s="109"/>
      <c r="H18" s="109"/>
    </row>
    <row r="19" spans="1:8" x14ac:dyDescent="0.25">
      <c r="A19" s="135" t="s">
        <v>150</v>
      </c>
      <c r="B19" s="65">
        <v>0.5</v>
      </c>
      <c r="C19" s="109" t="s">
        <v>80</v>
      </c>
      <c r="D19" s="109" t="s">
        <v>187</v>
      </c>
      <c r="E19" s="109"/>
      <c r="F19" s="109"/>
      <c r="G19" s="109"/>
      <c r="H19" s="109"/>
    </row>
    <row r="20" spans="1:8" x14ac:dyDescent="0.25">
      <c r="A20" s="252" t="s">
        <v>195</v>
      </c>
      <c r="B20" s="2">
        <v>0</v>
      </c>
      <c r="C20" s="109" t="s">
        <v>186</v>
      </c>
      <c r="D20" s="109" t="s">
        <v>188</v>
      </c>
      <c r="E20" s="109"/>
      <c r="F20" s="109"/>
      <c r="G20" s="109"/>
      <c r="H20" s="109"/>
    </row>
    <row r="21" spans="1:8" x14ac:dyDescent="0.25">
      <c r="A21" s="6" t="s">
        <v>3</v>
      </c>
      <c r="B21" s="165">
        <f>VLOOKUP(B15,'Proddata fra skoghåndbok'!B44:F48,2,FALSE)+B17</f>
        <v>90</v>
      </c>
      <c r="C21" s="109" t="s">
        <v>163</v>
      </c>
      <c r="D21" s="109" t="s">
        <v>183</v>
      </c>
      <c r="F21" s="109"/>
      <c r="G21" s="109"/>
      <c r="H21" s="109"/>
    </row>
    <row r="22" spans="1:8" x14ac:dyDescent="0.25">
      <c r="A22" s="6" t="s">
        <v>4</v>
      </c>
      <c r="B22" s="4">
        <f>B21-B16</f>
        <v>50</v>
      </c>
      <c r="C22" s="109" t="s">
        <v>163</v>
      </c>
      <c r="D22" s="247" t="s">
        <v>175</v>
      </c>
      <c r="E22" s="109"/>
      <c r="F22" s="109"/>
      <c r="G22" s="109"/>
      <c r="H22" s="109"/>
    </row>
    <row r="23" spans="1:8" x14ac:dyDescent="0.25">
      <c r="A23" s="8" t="s">
        <v>9</v>
      </c>
      <c r="B23" s="232">
        <f>INDEX('Proddata fra skoghåndbok'!$B$13:$N$17,MATCH($B$15,'Proddata fra skoghåndbok'!$A$20:$A$24,),MATCH(Kalkulator!$B$21,'Proddata fra skoghåndbok'!$B$19:$N$19))</f>
        <v>36.24</v>
      </c>
      <c r="C23" s="109" t="s">
        <v>137</v>
      </c>
      <c r="D23" s="109" t="s">
        <v>184</v>
      </c>
      <c r="E23" s="109"/>
      <c r="F23" s="109"/>
      <c r="G23" s="109"/>
      <c r="H23" s="109"/>
    </row>
    <row r="24" spans="1:8" x14ac:dyDescent="0.25">
      <c r="A24" s="6" t="s">
        <v>11</v>
      </c>
      <c r="B24" s="187">
        <v>2.5000000000000001E-2</v>
      </c>
      <c r="C24" s="109"/>
      <c r="D24" s="109" t="s">
        <v>180</v>
      </c>
      <c r="E24" s="109"/>
      <c r="F24" s="109"/>
      <c r="G24" s="109"/>
      <c r="H24" s="109"/>
    </row>
    <row r="25" spans="1:8" x14ac:dyDescent="0.25">
      <c r="A25" s="6" t="s">
        <v>12</v>
      </c>
      <c r="B25" s="7">
        <v>0.03</v>
      </c>
      <c r="C25" s="109"/>
      <c r="D25" s="109"/>
      <c r="E25" s="109"/>
      <c r="F25" s="109"/>
      <c r="G25" s="109"/>
      <c r="H25" s="109"/>
    </row>
    <row r="26" spans="1:8" x14ac:dyDescent="0.25">
      <c r="A26" s="6" t="s">
        <v>13</v>
      </c>
      <c r="B26" s="7">
        <f>B25+0.01</f>
        <v>0.04</v>
      </c>
      <c r="C26" s="109"/>
      <c r="D26" s="247" t="s">
        <v>167</v>
      </c>
      <c r="E26" s="109"/>
      <c r="F26" s="109"/>
      <c r="G26" s="109"/>
      <c r="H26" s="109"/>
    </row>
    <row r="27" spans="1:8" x14ac:dyDescent="0.25">
      <c r="A27" s="6" t="s">
        <v>117</v>
      </c>
      <c r="B27" s="6" t="s">
        <v>118</v>
      </c>
      <c r="C27" s="190">
        <f>F49</f>
        <v>0.1</v>
      </c>
      <c r="D27" s="109" t="s">
        <v>176</v>
      </c>
      <c r="E27" s="109"/>
      <c r="F27" s="109"/>
      <c r="G27" s="109"/>
      <c r="H27" s="109"/>
    </row>
    <row r="28" spans="1:8" x14ac:dyDescent="0.25">
      <c r="A28" s="6" t="s">
        <v>28</v>
      </c>
      <c r="B28" s="186">
        <f>INDEX('Proddata fra skoghåndbok'!$B$13:$N$17,MATCH($B$15,'Proddata fra skoghåndbok'!$A$13:$A$17,),MATCH(Kalkulator!B16,'Proddata fra skoghåndbok'!B12:N12))</f>
        <v>12.96</v>
      </c>
      <c r="C28" s="109" t="s">
        <v>137</v>
      </c>
      <c r="D28" s="109" t="s">
        <v>177</v>
      </c>
      <c r="E28" s="109"/>
      <c r="F28" s="109"/>
      <c r="G28" s="109"/>
      <c r="H28" s="109"/>
    </row>
    <row r="29" spans="1:8" x14ac:dyDescent="0.25">
      <c r="A29" s="6" t="s">
        <v>166</v>
      </c>
      <c r="B29" s="246" t="s">
        <v>167</v>
      </c>
      <c r="C29" s="109"/>
      <c r="D29" s="109"/>
      <c r="E29" s="109"/>
      <c r="F29" s="109"/>
      <c r="G29" s="109"/>
      <c r="H29" s="109"/>
    </row>
    <row r="30" spans="1:8" x14ac:dyDescent="0.25">
      <c r="A30" s="6" t="s">
        <v>168</v>
      </c>
      <c r="B30" s="246" t="s">
        <v>181</v>
      </c>
      <c r="C30" s="109"/>
      <c r="D30" s="247" t="s">
        <v>181</v>
      </c>
      <c r="E30" s="109"/>
      <c r="F30" s="109"/>
      <c r="G30" s="109"/>
    </row>
    <row r="31" spans="1:8" x14ac:dyDescent="0.25">
      <c r="A31" s="109"/>
      <c r="B31" s="253" t="s">
        <v>196</v>
      </c>
      <c r="C31" s="109"/>
      <c r="D31" s="109" t="s">
        <v>185</v>
      </c>
      <c r="E31" s="109"/>
      <c r="F31" s="109"/>
      <c r="G31" s="109"/>
      <c r="H31" s="109"/>
    </row>
    <row r="32" spans="1:8" x14ac:dyDescent="0.25">
      <c r="A32" s="173"/>
      <c r="B32" s="253">
        <v>0</v>
      </c>
      <c r="C32" s="173"/>
      <c r="D32" s="173"/>
      <c r="E32" s="173"/>
      <c r="F32" s="173"/>
      <c r="G32" s="173"/>
      <c r="H32" s="109"/>
    </row>
    <row r="33" spans="1:9" x14ac:dyDescent="0.25">
      <c r="A33" s="109"/>
      <c r="B33" s="109"/>
      <c r="C33" s="109"/>
      <c r="D33" s="109"/>
      <c r="E33" s="109"/>
      <c r="F33" s="109"/>
      <c r="G33" s="109"/>
      <c r="H33" s="109"/>
    </row>
    <row r="34" spans="1:9" x14ac:dyDescent="0.25">
      <c r="A34" s="109"/>
      <c r="B34" s="109"/>
      <c r="C34" s="109"/>
      <c r="D34" s="109"/>
      <c r="E34" s="109"/>
      <c r="F34" s="109"/>
      <c r="G34" s="109"/>
      <c r="H34" s="109"/>
    </row>
    <row r="35" spans="1:9" ht="15.75" thickBot="1" x14ac:dyDescent="0.3">
      <c r="A35" s="109"/>
      <c r="B35" s="109"/>
      <c r="C35" s="109"/>
      <c r="D35" s="109"/>
      <c r="E35" s="109"/>
      <c r="F35" s="180"/>
      <c r="G35" s="109"/>
      <c r="H35" s="173"/>
      <c r="I35" s="173"/>
    </row>
    <row r="36" spans="1:9" x14ac:dyDescent="0.25">
      <c r="A36" s="109"/>
      <c r="C36" s="163" t="s">
        <v>142</v>
      </c>
      <c r="D36" s="164"/>
      <c r="E36" s="191" t="s">
        <v>151</v>
      </c>
      <c r="F36" s="144"/>
      <c r="G36" s="109"/>
      <c r="H36" s="109"/>
    </row>
    <row r="37" spans="1:9" ht="30" x14ac:dyDescent="0.25">
      <c r="A37" s="125" t="s">
        <v>5</v>
      </c>
      <c r="B37" s="133" t="s">
        <v>14</v>
      </c>
      <c r="C37" s="136" t="s">
        <v>8</v>
      </c>
      <c r="D37" s="133" t="s">
        <v>128</v>
      </c>
      <c r="E37" s="145" t="s">
        <v>25</v>
      </c>
      <c r="F37" s="146" t="s">
        <v>32</v>
      </c>
      <c r="G37" s="109"/>
      <c r="H37" s="109"/>
    </row>
    <row r="38" spans="1:9" x14ac:dyDescent="0.25">
      <c r="A38" s="6" t="s">
        <v>6</v>
      </c>
      <c r="B38" s="134">
        <v>500</v>
      </c>
      <c r="C38" s="137">
        <v>0.75</v>
      </c>
      <c r="D38" s="141">
        <f>INDEX('Proddata fra skoghåndbok'!$B$20:$N$24,MATCH($B$15,'Proddata fra skoghåndbok'!$A$20:$A$24,),MATCH(Kalkulator!B16,'Proddata fra skoghåndbok'!B19:N19))+20%</f>
        <v>0.30000000000000004</v>
      </c>
      <c r="E38" s="147">
        <v>0.35</v>
      </c>
      <c r="F38" s="148">
        <f>IF(B32="Ja",E38,IF(E38&lt;=B31,E38,B31))</f>
        <v>0.35</v>
      </c>
      <c r="G38" s="109"/>
      <c r="H38" s="109"/>
    </row>
    <row r="39" spans="1:9" x14ac:dyDescent="0.25">
      <c r="A39" s="6" t="s">
        <v>7</v>
      </c>
      <c r="B39" s="134">
        <v>220</v>
      </c>
      <c r="C39" s="193">
        <f>1-C38</f>
        <v>0.25</v>
      </c>
      <c r="D39" s="142">
        <f>1-D38</f>
        <v>0.7</v>
      </c>
      <c r="E39" s="194">
        <f>1-E38-E40</f>
        <v>0.65</v>
      </c>
      <c r="F39" s="149">
        <f>1-F38</f>
        <v>0.65</v>
      </c>
      <c r="G39" s="109"/>
      <c r="H39" s="109"/>
    </row>
    <row r="40" spans="1:9" x14ac:dyDescent="0.25">
      <c r="A40" s="107" t="s">
        <v>133</v>
      </c>
      <c r="B40" s="134">
        <v>0</v>
      </c>
      <c r="C40" s="137">
        <v>0</v>
      </c>
      <c r="D40" s="142"/>
      <c r="E40" s="147">
        <v>0</v>
      </c>
      <c r="F40" s="149"/>
      <c r="G40" s="109"/>
      <c r="H40" s="109"/>
    </row>
    <row r="41" spans="1:9" x14ac:dyDescent="0.25">
      <c r="A41" s="9" t="s">
        <v>129</v>
      </c>
      <c r="C41" s="138">
        <f>(C38*$B$38+C39*$B$39)</f>
        <v>430</v>
      </c>
      <c r="D41" s="143">
        <f>(D38*$B$38+D39*$B$39)</f>
        <v>304</v>
      </c>
      <c r="E41" s="150">
        <f>(E38*$B$38+E39*$B$39)</f>
        <v>318</v>
      </c>
      <c r="F41" s="151">
        <f>(F38*$B$38+F39*$B$39)</f>
        <v>318</v>
      </c>
      <c r="G41" s="109"/>
      <c r="H41" s="109"/>
    </row>
    <row r="42" spans="1:9" x14ac:dyDescent="0.25">
      <c r="C42" s="185"/>
      <c r="D42" s="183"/>
      <c r="E42" s="195"/>
      <c r="F42" s="196"/>
      <c r="G42" s="109"/>
      <c r="H42" s="109"/>
    </row>
    <row r="43" spans="1:9" x14ac:dyDescent="0.25">
      <c r="A43" s="126" t="str">
        <f>"Hogst ved: "&amp;B21&amp;" År"</f>
        <v>Hogst ved: 90 År</v>
      </c>
      <c r="B43" s="127"/>
      <c r="C43" s="139"/>
      <c r="D43" s="127"/>
      <c r="E43" s="152"/>
      <c r="F43" s="153"/>
      <c r="H43" s="109"/>
    </row>
    <row r="44" spans="1:9" x14ac:dyDescent="0.25">
      <c r="A44" s="8" t="s">
        <v>9</v>
      </c>
      <c r="C44" s="186">
        <f>Vol_daa</f>
        <v>36.24</v>
      </c>
      <c r="D44" s="180"/>
      <c r="E44" s="197">
        <f>C44*(1-B19)</f>
        <v>18.12</v>
      </c>
      <c r="F44" s="198"/>
      <c r="G44" s="109"/>
      <c r="H44" s="109"/>
    </row>
    <row r="45" spans="1:9" x14ac:dyDescent="0.25">
      <c r="A45" s="200"/>
      <c r="C45" s="201"/>
      <c r="D45" s="180"/>
      <c r="E45" s="202"/>
      <c r="F45" s="198"/>
      <c r="G45" s="109"/>
      <c r="H45" s="173"/>
    </row>
    <row r="46" spans="1:9" x14ac:dyDescent="0.25">
      <c r="A46" s="248" t="s">
        <v>15</v>
      </c>
      <c r="B46" s="109"/>
      <c r="C46" s="203">
        <f>INDEX('Proddata fra skoghåndbok'!$B$28:$N$32,MATCH($B$15,'Proddata fra skoghåndbok'!$A$20:$A$24,),MATCH(Kalkulator!$B$21,'Proddata fra skoghåndbok'!$B$19:$N$19))</f>
        <v>100</v>
      </c>
      <c r="D46" s="180"/>
      <c r="E46" s="204">
        <f>C46</f>
        <v>100</v>
      </c>
      <c r="F46" s="198"/>
      <c r="G46" s="109"/>
      <c r="H46" s="109"/>
    </row>
    <row r="47" spans="1:9" x14ac:dyDescent="0.25">
      <c r="A47" s="249" t="s">
        <v>131</v>
      </c>
      <c r="B47" s="109"/>
      <c r="C47" s="203">
        <f>($B38*C38+C39*$B39)-C46</f>
        <v>330</v>
      </c>
      <c r="D47" s="180"/>
      <c r="E47" s="204">
        <f>($B38*E38+E39*$B39)-E46</f>
        <v>218</v>
      </c>
      <c r="F47" s="198"/>
      <c r="G47" s="109"/>
      <c r="H47" s="109"/>
    </row>
    <row r="48" spans="1:9" x14ac:dyDescent="0.25">
      <c r="A48" s="250" t="s">
        <v>28</v>
      </c>
      <c r="B48" s="109"/>
      <c r="C48" s="205"/>
      <c r="D48" s="206">
        <f>B28</f>
        <v>12.96</v>
      </c>
      <c r="E48" s="195"/>
      <c r="F48" s="207">
        <f>D48*(1-B18)</f>
        <v>12.96</v>
      </c>
      <c r="G48" s="109"/>
      <c r="H48" s="109"/>
    </row>
    <row r="49" spans="1:9" x14ac:dyDescent="0.25">
      <c r="A49" s="251" t="s">
        <v>178</v>
      </c>
      <c r="B49" s="132"/>
      <c r="C49" s="140"/>
      <c r="D49" s="132"/>
      <c r="E49" s="154"/>
      <c r="F49" s="155">
        <f>IF(B27="Ja",INDEX('Proddata fra skoghåndbok'!$B$36:$N$41,MATCH($B$15,'Proddata fra skoghåndbok'!$A$20:$A$24,),MATCH(Kalkulator!B16,'Proddata fra skoghåndbok'!B19:N19)),1)</f>
        <v>0.1</v>
      </c>
      <c r="G49" s="199"/>
      <c r="H49" s="109"/>
    </row>
    <row r="50" spans="1:9" x14ac:dyDescent="0.25">
      <c r="A50" s="126" t="s">
        <v>115</v>
      </c>
      <c r="B50" s="127"/>
      <c r="C50" s="139"/>
      <c r="D50" s="127"/>
      <c r="E50" s="152"/>
      <c r="F50" s="153"/>
      <c r="G50" s="109"/>
      <c r="H50" s="109"/>
    </row>
    <row r="51" spans="1:9" x14ac:dyDescent="0.25">
      <c r="A51" s="124" t="s">
        <v>15</v>
      </c>
      <c r="B51" s="109"/>
      <c r="C51" s="205"/>
      <c r="D51" s="208">
        <v>120</v>
      </c>
      <c r="E51" s="209"/>
      <c r="F51" s="210">
        <f>IF($B$20=0,INDEX('Proddata fra skoghåndbok'!$B$28:$N$32,MATCH($B$15,'Proddata fra skoghåndbok'!$A$20:$A$24,),MATCH(Kalkulator!$B$16,'Proddata fra skoghåndbok'!$B$19:$N$19)),$B$20)</f>
        <v>130</v>
      </c>
      <c r="G51" s="109"/>
      <c r="H51" s="109"/>
    </row>
    <row r="52" spans="1:9" x14ac:dyDescent="0.25">
      <c r="A52" s="9" t="s">
        <v>130</v>
      </c>
      <c r="B52" s="109"/>
      <c r="C52" s="205"/>
      <c r="D52" s="213">
        <f>(D41-D51)*$F$49</f>
        <v>18.400000000000002</v>
      </c>
      <c r="E52" s="209"/>
      <c r="F52" s="214">
        <f>(F41-F51)*$F$49</f>
        <v>18.8</v>
      </c>
      <c r="G52" s="109"/>
      <c r="H52" s="109"/>
    </row>
    <row r="53" spans="1:9" ht="15.75" thickBot="1" x14ac:dyDescent="0.3">
      <c r="A53" s="109"/>
      <c r="B53" s="109"/>
      <c r="C53" s="205"/>
      <c r="D53" s="180"/>
      <c r="E53" s="209"/>
      <c r="F53" s="198"/>
      <c r="G53" s="109"/>
      <c r="H53" s="109"/>
    </row>
    <row r="54" spans="1:9" x14ac:dyDescent="0.25">
      <c r="A54" s="177" t="s">
        <v>136</v>
      </c>
      <c r="B54" s="178"/>
      <c r="C54" s="178"/>
      <c r="D54" s="178"/>
      <c r="E54" s="178"/>
      <c r="F54" s="179"/>
      <c r="G54" s="109"/>
      <c r="H54" s="109"/>
    </row>
    <row r="55" spans="1:9" x14ac:dyDescent="0.25">
      <c r="A55" s="136" t="s">
        <v>17</v>
      </c>
      <c r="B55" s="8" t="s">
        <v>18</v>
      </c>
      <c r="C55" s="8" t="s">
        <v>179</v>
      </c>
      <c r="D55" s="180"/>
      <c r="E55" s="8" t="s">
        <v>24</v>
      </c>
      <c r="F55" s="156" t="s">
        <v>139</v>
      </c>
      <c r="G55" s="109"/>
      <c r="H55" s="109"/>
    </row>
    <row r="56" spans="1:9" x14ac:dyDescent="0.25">
      <c r="A56" s="157">
        <v>20</v>
      </c>
      <c r="B56" s="129">
        <f>80+$D$56</f>
        <v>80</v>
      </c>
      <c r="C56" s="65">
        <v>0</v>
      </c>
      <c r="D56" s="180">
        <v>0</v>
      </c>
      <c r="E56" s="181">
        <f>INDEX(Grunnverdi!$B$45:$F$45,MATCH(Kalkulator!$B$15,Grunnverdi!$B$3:$F$3,0))</f>
        <v>1832.0699003546567</v>
      </c>
      <c r="F56" s="182">
        <f>Rentefot_1</f>
        <v>2.5000000000000001E-2</v>
      </c>
      <c r="G56" s="109"/>
      <c r="H56" s="211" t="s">
        <v>145</v>
      </c>
      <c r="I56" s="212"/>
    </row>
    <row r="57" spans="1:9" x14ac:dyDescent="0.25">
      <c r="A57" s="158">
        <v>17</v>
      </c>
      <c r="B57" s="129">
        <f>90+$D$56</f>
        <v>90</v>
      </c>
      <c r="C57" s="65">
        <v>0</v>
      </c>
      <c r="D57" s="180"/>
      <c r="E57" s="181">
        <f>INDEX(Grunnverdi!$B$49:$F$49,MATCH(Kalkulator!$B$15,Grunnverdi!$B$3:$F$3,0))</f>
        <v>1133.4819954649995</v>
      </c>
      <c r="F57" s="166">
        <f>Rentefot_2</f>
        <v>0.03</v>
      </c>
      <c r="G57" s="109"/>
      <c r="H57" s="215" t="s">
        <v>146</v>
      </c>
      <c r="I57" s="216">
        <v>0.15</v>
      </c>
    </row>
    <row r="58" spans="1:9" x14ac:dyDescent="0.25">
      <c r="A58" s="158">
        <v>14</v>
      </c>
      <c r="B58" s="129">
        <f>100+$D$56</f>
        <v>100</v>
      </c>
      <c r="C58" s="65">
        <v>0</v>
      </c>
      <c r="D58" s="180"/>
      <c r="E58" s="181">
        <f>INDEX(Grunnverdi!$B$53:$F$53,MATCH(Kalkulator!$B$15,Grunnverdi!$B$3:$F$3,0))</f>
        <v>455.197568274118</v>
      </c>
      <c r="F58" s="166">
        <f>Rentefot_3</f>
        <v>0.04</v>
      </c>
      <c r="G58" s="109"/>
      <c r="H58" s="215" t="s">
        <v>147</v>
      </c>
      <c r="I58" s="216">
        <v>0.3</v>
      </c>
    </row>
    <row r="59" spans="1:9" x14ac:dyDescent="0.25">
      <c r="A59" s="158">
        <v>11</v>
      </c>
      <c r="B59" s="129">
        <f>120+$D$56</f>
        <v>120</v>
      </c>
      <c r="C59" s="65">
        <v>0</v>
      </c>
      <c r="D59" s="180"/>
      <c r="E59" s="183"/>
      <c r="F59" s="184"/>
      <c r="G59" s="109"/>
      <c r="H59" s="217" t="s">
        <v>148</v>
      </c>
      <c r="I59" s="218">
        <v>0.5</v>
      </c>
    </row>
    <row r="60" spans="1:9" x14ac:dyDescent="0.25">
      <c r="A60" s="159">
        <v>8</v>
      </c>
      <c r="B60" s="129">
        <f>140+$D$56</f>
        <v>140</v>
      </c>
      <c r="C60" s="65">
        <v>0</v>
      </c>
      <c r="D60" s="180"/>
      <c r="E60" s="180"/>
      <c r="F60" s="184"/>
      <c r="G60" s="109"/>
      <c r="H60" s="109"/>
    </row>
    <row r="61" spans="1:9" x14ac:dyDescent="0.25">
      <c r="A61" s="185" t="s">
        <v>170</v>
      </c>
      <c r="B61" s="183"/>
      <c r="C61" s="180"/>
      <c r="D61" s="180"/>
      <c r="E61" s="180"/>
      <c r="F61" s="184"/>
      <c r="G61" s="109"/>
      <c r="H61" s="109"/>
    </row>
    <row r="62" spans="1:9" x14ac:dyDescent="0.25">
      <c r="A62" s="160" t="s">
        <v>138</v>
      </c>
      <c r="B62" s="2">
        <v>0</v>
      </c>
      <c r="C62" s="180"/>
      <c r="D62" s="180"/>
      <c r="E62" s="180"/>
      <c r="F62" s="184"/>
      <c r="G62" s="109"/>
      <c r="H62" s="109"/>
    </row>
    <row r="63" spans="1:9" x14ac:dyDescent="0.25">
      <c r="A63" s="160" t="s">
        <v>182</v>
      </c>
      <c r="B63" s="2">
        <v>0</v>
      </c>
      <c r="C63" s="180"/>
      <c r="D63" s="180"/>
      <c r="E63" s="180"/>
      <c r="F63" s="184"/>
      <c r="G63" s="109"/>
      <c r="H63" s="109"/>
    </row>
    <row r="64" spans="1:9" ht="15.75" thickBot="1" x14ac:dyDescent="0.3">
      <c r="A64" s="161" t="s">
        <v>114</v>
      </c>
      <c r="B64" s="162">
        <v>0</v>
      </c>
      <c r="C64" s="188"/>
      <c r="D64" s="188"/>
      <c r="E64" s="188"/>
      <c r="F64" s="189"/>
      <c r="G64" s="109"/>
      <c r="H64" s="109"/>
    </row>
    <row r="65" spans="1:15" x14ac:dyDescent="0.25">
      <c r="A65" s="109"/>
      <c r="B65" s="109"/>
      <c r="C65" s="109"/>
      <c r="D65" s="109"/>
      <c r="E65" s="109"/>
      <c r="F65" s="109"/>
      <c r="G65" s="109"/>
      <c r="H65" s="109"/>
    </row>
    <row r="66" spans="1:15" x14ac:dyDescent="0.25">
      <c r="A66" s="109" t="s">
        <v>169</v>
      </c>
      <c r="B66" s="109"/>
      <c r="C66" s="109"/>
      <c r="D66" s="109"/>
      <c r="E66" s="109"/>
      <c r="F66" s="109"/>
      <c r="G66" s="109"/>
      <c r="H66" s="109"/>
    </row>
    <row r="67" spans="1:15" x14ac:dyDescent="0.25">
      <c r="A67" s="109"/>
      <c r="B67" s="222" t="str">
        <f>A6</f>
        <v>Rentefot 1</v>
      </c>
      <c r="F67" s="109"/>
      <c r="G67" s="245">
        <f>Rentefot_2</f>
        <v>0.03</v>
      </c>
      <c r="I67" s="1"/>
      <c r="J67" s="1"/>
      <c r="L67" s="223">
        <f>Rentefot_3</f>
        <v>0.04</v>
      </c>
    </row>
    <row r="68" spans="1:15" ht="75" x14ac:dyDescent="0.25">
      <c r="A68" s="109" t="s">
        <v>189</v>
      </c>
      <c r="B68" s="8" t="s">
        <v>31</v>
      </c>
      <c r="C68" s="8" t="str">
        <f>$E$5</f>
        <v>Nåverdi Beiteskade (Ved normal slutthogstalder)</v>
      </c>
      <c r="D68" s="8" t="str">
        <f>$F$5</f>
        <v>Slakteverdi i dag med skade</v>
      </c>
      <c r="E68" s="6" t="str">
        <f>$G$5</f>
        <v>Differanse</v>
      </c>
      <c r="F68" s="109"/>
      <c r="G68" s="8" t="str">
        <f>B68</f>
        <v>Sagtømmerandel</v>
      </c>
      <c r="H68" s="8" t="str">
        <f>$E$5</f>
        <v>Nåverdi Beiteskade (Ved normal slutthogstalder)</v>
      </c>
      <c r="I68" s="8" t="str">
        <f>$F$5</f>
        <v>Slakteverdi i dag med skade</v>
      </c>
      <c r="J68" s="6" t="str">
        <f>$G$5</f>
        <v>Differanse</v>
      </c>
      <c r="L68" s="8" t="str">
        <f>B68</f>
        <v>Sagtømmerandel</v>
      </c>
      <c r="M68" s="8" t="str">
        <f>$E$5</f>
        <v>Nåverdi Beiteskade (Ved normal slutthogstalder)</v>
      </c>
      <c r="N68" s="8" t="str">
        <f>$F$5</f>
        <v>Slakteverdi i dag med skade</v>
      </c>
      <c r="O68" s="6" t="str">
        <f>$G$5</f>
        <v>Differanse</v>
      </c>
    </row>
    <row r="69" spans="1:15" x14ac:dyDescent="0.25">
      <c r="A69" s="109"/>
      <c r="B69" s="192">
        <f>E38</f>
        <v>0.35</v>
      </c>
      <c r="C69" s="181">
        <f>$E$6</f>
        <v>1682.2947342944058</v>
      </c>
      <c r="D69" s="181">
        <f>$F$6</f>
        <v>2075.7179003546566</v>
      </c>
      <c r="E69" s="181"/>
      <c r="F69" s="109"/>
      <c r="G69" s="109"/>
      <c r="H69" s="181">
        <f>E7</f>
        <v>1318.9675772429009</v>
      </c>
      <c r="I69" s="181">
        <f>F7</f>
        <v>1377.1299954649994</v>
      </c>
      <c r="J69" s="181"/>
      <c r="M69" s="181">
        <f>$E$8</f>
        <v>813.63269173695994</v>
      </c>
      <c r="N69" s="181">
        <f>$F$8</f>
        <v>698.84556827411802</v>
      </c>
      <c r="O69" s="181"/>
    </row>
    <row r="70" spans="1:15" x14ac:dyDescent="0.25">
      <c r="A70" s="109"/>
      <c r="B70" s="192">
        <v>0</v>
      </c>
      <c r="C70" s="181">
        <f t="dataTable" ref="C70:D80" dt2D="0" dtr="0" r1="E38"/>
        <v>1165.6511990404024</v>
      </c>
      <c r="D70" s="181">
        <v>1948.7099003546568</v>
      </c>
      <c r="E70" s="181">
        <f>C70-D70</f>
        <v>-783.05870131425445</v>
      </c>
      <c r="F70" s="109"/>
      <c r="G70" s="190">
        <v>0</v>
      </c>
      <c r="H70" s="181">
        <f t="dataTable" ref="H70:I80" dt2D="0" dtr="0" r1="E38" ca="1"/>
        <v>913.90414923544745</v>
      </c>
      <c r="I70" s="181">
        <v>1250.1219954649996</v>
      </c>
      <c r="J70" s="181">
        <f t="shared" ref="J70:J80" si="2">H70-I70</f>
        <v>-336.21784622955215</v>
      </c>
      <c r="L70" s="190">
        <v>0</v>
      </c>
      <c r="M70" s="181">
        <f t="dataTable" ref="M70:N80" dt2D="0" dtr="0" r1="E38" ca="1"/>
        <v>563.76085793280686</v>
      </c>
      <c r="N70" s="181">
        <v>571.83756827411798</v>
      </c>
      <c r="O70" s="181">
        <f>M70-N70</f>
        <v>-8.0767103413111272</v>
      </c>
    </row>
    <row r="71" spans="1:15" x14ac:dyDescent="0.25">
      <c r="A71" s="109"/>
      <c r="B71" s="192">
        <f>B70+10%</f>
        <v>0.1</v>
      </c>
      <c r="C71" s="181">
        <v>1313.2636376844034</v>
      </c>
      <c r="D71" s="181">
        <v>1984.9979003546568</v>
      </c>
      <c r="E71" s="181">
        <f t="shared" ref="E71:E80" si="3">C71-D71</f>
        <v>-671.73426267025343</v>
      </c>
      <c r="F71" s="109"/>
      <c r="G71" s="190">
        <f>G70+10%</f>
        <v>0.1</v>
      </c>
      <c r="H71" s="181">
        <v>1029.6365572375771</v>
      </c>
      <c r="I71" s="181">
        <v>1286.4099954649996</v>
      </c>
      <c r="J71" s="181">
        <f t="shared" si="2"/>
        <v>-256.7734382274225</v>
      </c>
      <c r="L71" s="190">
        <f>L70+10%</f>
        <v>0.1</v>
      </c>
      <c r="M71" s="181">
        <v>635.15281044827907</v>
      </c>
      <c r="N71" s="181">
        <v>608.125568274118</v>
      </c>
      <c r="O71" s="181">
        <f t="shared" ref="O71:O80" si="4">M71-N71</f>
        <v>27.027242174161074</v>
      </c>
    </row>
    <row r="72" spans="1:15" x14ac:dyDescent="0.25">
      <c r="A72" s="109"/>
      <c r="B72" s="192">
        <f t="shared" ref="B72:B80" si="5">B71+10%</f>
        <v>0.2</v>
      </c>
      <c r="C72" s="181">
        <v>1460.8760763284045</v>
      </c>
      <c r="D72" s="181">
        <v>2021.2859003546569</v>
      </c>
      <c r="E72" s="181">
        <f t="shared" si="3"/>
        <v>-560.40982402625241</v>
      </c>
      <c r="F72" s="109"/>
      <c r="G72" s="190">
        <f t="shared" ref="G72:G80" si="6">G71+10%</f>
        <v>0.2</v>
      </c>
      <c r="H72" s="181">
        <v>1145.3689652397065</v>
      </c>
      <c r="I72" s="181">
        <v>1322.6979954649996</v>
      </c>
      <c r="J72" s="181">
        <f t="shared" si="2"/>
        <v>-177.32903022529308</v>
      </c>
      <c r="L72" s="190">
        <f t="shared" ref="L72:L80" si="7">L71+10%</f>
        <v>0.2</v>
      </c>
      <c r="M72" s="181">
        <v>706.54476296375151</v>
      </c>
      <c r="N72" s="181">
        <v>644.41356827411801</v>
      </c>
      <c r="O72" s="181">
        <f t="shared" si="4"/>
        <v>62.131194689633503</v>
      </c>
    </row>
    <row r="73" spans="1:15" x14ac:dyDescent="0.25">
      <c r="A73" s="109"/>
      <c r="B73" s="192">
        <f t="shared" si="5"/>
        <v>0.30000000000000004</v>
      </c>
      <c r="C73" s="181">
        <v>1608.4885149724053</v>
      </c>
      <c r="D73" s="181">
        <v>2057.5739003546569</v>
      </c>
      <c r="E73" s="181">
        <f t="shared" si="3"/>
        <v>-449.08538538225162</v>
      </c>
      <c r="F73" s="109"/>
      <c r="G73" s="190">
        <f t="shared" si="6"/>
        <v>0.30000000000000004</v>
      </c>
      <c r="H73" s="181">
        <v>1261.101373241836</v>
      </c>
      <c r="I73" s="181">
        <v>1358.9859954649996</v>
      </c>
      <c r="J73" s="181">
        <f t="shared" si="2"/>
        <v>-97.88462222316366</v>
      </c>
      <c r="L73" s="190">
        <f t="shared" si="7"/>
        <v>0.30000000000000004</v>
      </c>
      <c r="M73" s="181">
        <v>777.93671547922372</v>
      </c>
      <c r="N73" s="181">
        <v>680.70156827411802</v>
      </c>
      <c r="O73" s="181">
        <f t="shared" si="4"/>
        <v>97.235147205105704</v>
      </c>
    </row>
    <row r="74" spans="1:15" x14ac:dyDescent="0.25">
      <c r="A74" s="109"/>
      <c r="B74" s="192">
        <f t="shared" si="5"/>
        <v>0.4</v>
      </c>
      <c r="C74" s="181">
        <v>1756.1009536164063</v>
      </c>
      <c r="D74" s="181">
        <v>2093.8619003546569</v>
      </c>
      <c r="E74" s="181">
        <f t="shared" si="3"/>
        <v>-337.7609467382506</v>
      </c>
      <c r="F74" s="109"/>
      <c r="G74" s="190">
        <f t="shared" si="6"/>
        <v>0.4</v>
      </c>
      <c r="H74" s="181">
        <v>1376.8337812439659</v>
      </c>
      <c r="I74" s="181">
        <v>1395.2739954649996</v>
      </c>
      <c r="J74" s="181">
        <f t="shared" si="2"/>
        <v>-18.440214221033784</v>
      </c>
      <c r="L74" s="190">
        <f t="shared" si="7"/>
        <v>0.4</v>
      </c>
      <c r="M74" s="181">
        <v>849.32866799469616</v>
      </c>
      <c r="N74" s="181">
        <v>716.98956827411803</v>
      </c>
      <c r="O74" s="181">
        <f t="shared" si="4"/>
        <v>132.33909972057813</v>
      </c>
    </row>
    <row r="75" spans="1:15" x14ac:dyDescent="0.25">
      <c r="A75" s="109"/>
      <c r="B75" s="192">
        <f t="shared" si="5"/>
        <v>0.5</v>
      </c>
      <c r="C75" s="181">
        <v>1903.7133922604071</v>
      </c>
      <c r="D75" s="181">
        <v>2130.1499003546569</v>
      </c>
      <c r="E75" s="181">
        <f t="shared" si="3"/>
        <v>-226.4365080942498</v>
      </c>
      <c r="F75" s="109"/>
      <c r="G75" s="190">
        <f t="shared" si="6"/>
        <v>0.5</v>
      </c>
      <c r="H75" s="181">
        <v>1492.5661892460953</v>
      </c>
      <c r="I75" s="181">
        <v>1431.5619954649997</v>
      </c>
      <c r="J75" s="181">
        <f t="shared" si="2"/>
        <v>61.004193781095637</v>
      </c>
      <c r="L75" s="190">
        <f t="shared" si="7"/>
        <v>0.5</v>
      </c>
      <c r="M75" s="181">
        <v>920.72062051016837</v>
      </c>
      <c r="N75" s="181">
        <v>753.27756827411804</v>
      </c>
      <c r="O75" s="181">
        <f t="shared" si="4"/>
        <v>167.44305223605033</v>
      </c>
    </row>
    <row r="76" spans="1:15" x14ac:dyDescent="0.25">
      <c r="A76" s="109"/>
      <c r="B76" s="192">
        <f t="shared" si="5"/>
        <v>0.6</v>
      </c>
      <c r="C76" s="181">
        <v>2051.3258309044086</v>
      </c>
      <c r="D76" s="181">
        <v>2166.4379003546569</v>
      </c>
      <c r="E76" s="181">
        <f t="shared" si="3"/>
        <v>-115.11206945024833</v>
      </c>
      <c r="F76" s="224"/>
      <c r="G76" s="190">
        <f t="shared" si="6"/>
        <v>0.6</v>
      </c>
      <c r="H76" s="181">
        <v>1608.298597248225</v>
      </c>
      <c r="I76" s="181">
        <v>1467.8499954649997</v>
      </c>
      <c r="J76" s="181">
        <f t="shared" si="2"/>
        <v>140.44860178322529</v>
      </c>
      <c r="L76" s="190">
        <f t="shared" si="7"/>
        <v>0.6</v>
      </c>
      <c r="M76" s="181">
        <v>992.11257302564081</v>
      </c>
      <c r="N76" s="181">
        <v>789.56556827411805</v>
      </c>
      <c r="O76" s="181">
        <f t="shared" si="4"/>
        <v>202.54700475152276</v>
      </c>
    </row>
    <row r="77" spans="1:15" x14ac:dyDescent="0.25">
      <c r="A77" s="109"/>
      <c r="B77" s="192">
        <f t="shared" si="5"/>
        <v>0.7</v>
      </c>
      <c r="C77" s="181">
        <v>2198.9382695484092</v>
      </c>
      <c r="D77" s="181">
        <v>2202.7259003546569</v>
      </c>
      <c r="E77" s="181">
        <f t="shared" si="3"/>
        <v>-3.7876308062477619</v>
      </c>
      <c r="F77" s="224"/>
      <c r="G77" s="190">
        <f t="shared" si="6"/>
        <v>0.7</v>
      </c>
      <c r="H77" s="181">
        <v>1724.0310052503544</v>
      </c>
      <c r="I77" s="181">
        <v>1504.1379954649997</v>
      </c>
      <c r="J77" s="181">
        <f t="shared" si="2"/>
        <v>219.89300978535471</v>
      </c>
      <c r="L77" s="190">
        <f t="shared" si="7"/>
        <v>0.7</v>
      </c>
      <c r="M77" s="181">
        <v>1063.5045255411133</v>
      </c>
      <c r="N77" s="181">
        <v>825.85356827411806</v>
      </c>
      <c r="O77" s="181">
        <f t="shared" si="4"/>
        <v>237.65095726699519</v>
      </c>
    </row>
    <row r="78" spans="1:15" x14ac:dyDescent="0.25">
      <c r="A78" s="109"/>
      <c r="B78" s="192">
        <f t="shared" si="5"/>
        <v>0.79999999999999993</v>
      </c>
      <c r="C78" s="181">
        <v>2346.5507081924102</v>
      </c>
      <c r="D78" s="181">
        <v>2239.0139003546565</v>
      </c>
      <c r="E78" s="181">
        <f t="shared" si="3"/>
        <v>107.53680783775371</v>
      </c>
      <c r="F78" s="224"/>
      <c r="G78" s="190">
        <f t="shared" si="6"/>
        <v>0.79999999999999993</v>
      </c>
      <c r="H78" s="181">
        <v>1839.7634132524838</v>
      </c>
      <c r="I78" s="181">
        <v>1540.4259954649995</v>
      </c>
      <c r="J78" s="181">
        <f t="shared" si="2"/>
        <v>299.33741778748436</v>
      </c>
      <c r="L78" s="190">
        <f t="shared" si="7"/>
        <v>0.79999999999999993</v>
      </c>
      <c r="M78" s="181">
        <v>1134.8964780565855</v>
      </c>
      <c r="N78" s="181">
        <v>862.14156827411796</v>
      </c>
      <c r="O78" s="181">
        <f t="shared" si="4"/>
        <v>272.75490978246751</v>
      </c>
    </row>
    <row r="79" spans="1:15" x14ac:dyDescent="0.25">
      <c r="A79" s="109"/>
      <c r="B79" s="192">
        <f t="shared" si="5"/>
        <v>0.89999999999999991</v>
      </c>
      <c r="C79" s="181">
        <v>2494.1631468364112</v>
      </c>
      <c r="D79" s="181">
        <v>2275.3019003546569</v>
      </c>
      <c r="E79" s="181">
        <f t="shared" si="3"/>
        <v>218.86124648175428</v>
      </c>
      <c r="F79" s="224"/>
      <c r="G79" s="190">
        <f t="shared" si="6"/>
        <v>0.89999999999999991</v>
      </c>
      <c r="H79" s="181">
        <v>1955.4958212546135</v>
      </c>
      <c r="I79" s="181">
        <v>1576.7139954649995</v>
      </c>
      <c r="J79" s="181">
        <f t="shared" si="2"/>
        <v>378.781825789614</v>
      </c>
      <c r="L79" s="190">
        <f t="shared" si="7"/>
        <v>0.89999999999999991</v>
      </c>
      <c r="M79" s="181">
        <v>1206.2884305720577</v>
      </c>
      <c r="N79" s="181">
        <v>898.42956827411797</v>
      </c>
      <c r="O79" s="181">
        <f t="shared" si="4"/>
        <v>307.85886229793971</v>
      </c>
    </row>
    <row r="80" spans="1:15" x14ac:dyDescent="0.25">
      <c r="A80" s="109"/>
      <c r="B80" s="192">
        <f t="shared" si="5"/>
        <v>0.99999999999999989</v>
      </c>
      <c r="C80" s="181">
        <v>2641.7755854804118</v>
      </c>
      <c r="D80" s="181">
        <v>2311.5899003546565</v>
      </c>
      <c r="E80" s="181">
        <f t="shared" si="3"/>
        <v>330.1856851257553</v>
      </c>
      <c r="F80" s="224"/>
      <c r="G80" s="190">
        <f t="shared" si="6"/>
        <v>0.99999999999999989</v>
      </c>
      <c r="H80" s="181">
        <v>2071.2282292567429</v>
      </c>
      <c r="I80" s="181">
        <v>1613.0019954649995</v>
      </c>
      <c r="J80" s="181">
        <f t="shared" si="2"/>
        <v>458.22623379174343</v>
      </c>
      <c r="L80" s="190">
        <f t="shared" si="7"/>
        <v>0.99999999999999989</v>
      </c>
      <c r="M80" s="181">
        <v>1277.6803830875301</v>
      </c>
      <c r="N80" s="181">
        <v>934.71756827411787</v>
      </c>
      <c r="O80" s="181">
        <f t="shared" si="4"/>
        <v>342.96281481341225</v>
      </c>
    </row>
    <row r="81" spans="1:15" x14ac:dyDescent="0.25">
      <c r="A81" s="109"/>
      <c r="B81" s="109"/>
      <c r="C81" s="109"/>
      <c r="D81" s="109"/>
      <c r="E81" s="109"/>
      <c r="F81" s="224"/>
      <c r="G81" s="224"/>
      <c r="H81" s="224"/>
      <c r="I81" s="224"/>
    </row>
    <row r="82" spans="1:15" x14ac:dyDescent="0.25">
      <c r="A82" s="109"/>
      <c r="B82" s="109"/>
      <c r="C82" s="109"/>
      <c r="D82" s="109"/>
      <c r="E82" s="109"/>
      <c r="F82" s="224"/>
      <c r="G82" s="224"/>
      <c r="H82" s="224"/>
      <c r="I82" s="224"/>
      <c r="J82" s="224"/>
      <c r="K82" s="224"/>
    </row>
    <row r="83" spans="1:15" x14ac:dyDescent="0.25">
      <c r="A83" s="109"/>
      <c r="B83" s="109"/>
      <c r="C83" s="109"/>
      <c r="D83" s="109"/>
      <c r="E83" s="109"/>
      <c r="F83" s="224"/>
      <c r="G83" s="224"/>
      <c r="H83" s="224"/>
      <c r="I83" s="224"/>
      <c r="J83" s="224"/>
      <c r="K83" s="224"/>
    </row>
    <row r="84" spans="1:15" x14ac:dyDescent="0.25">
      <c r="A84" s="109"/>
      <c r="B84" s="109" t="s">
        <v>2</v>
      </c>
      <c r="C84" s="109"/>
      <c r="D84" s="109"/>
      <c r="E84" s="109"/>
      <c r="F84" s="224"/>
      <c r="G84" s="190">
        <f>Rentefot_2</f>
        <v>0.03</v>
      </c>
      <c r="I84" s="1"/>
      <c r="J84" s="1"/>
      <c r="K84" s="224"/>
      <c r="L84" s="190">
        <f>Rentefot_3</f>
        <v>0.04</v>
      </c>
      <c r="M84" s="1"/>
      <c r="N84" s="1"/>
      <c r="O84" s="1"/>
    </row>
    <row r="85" spans="1:15" ht="75" x14ac:dyDescent="0.25">
      <c r="A85" s="109" t="s">
        <v>190</v>
      </c>
      <c r="B85" s="8" t="s">
        <v>141</v>
      </c>
      <c r="C85" s="8" t="str">
        <f>$E$5</f>
        <v>Nåverdi Beiteskade (Ved normal slutthogstalder)</v>
      </c>
      <c r="D85" s="8" t="str">
        <f>$F$5</f>
        <v>Slakteverdi i dag med skade</v>
      </c>
      <c r="E85" s="6" t="str">
        <f>$G$5</f>
        <v>Differanse</v>
      </c>
      <c r="F85" s="224"/>
      <c r="G85" s="8" t="str">
        <f>B85</f>
        <v>Justering av alder andre omløp</v>
      </c>
      <c r="H85" s="8" t="str">
        <f>$E$5</f>
        <v>Nåverdi Beiteskade (Ved normal slutthogstalder)</v>
      </c>
      <c r="I85" s="8" t="str">
        <f>$F$5</f>
        <v>Slakteverdi i dag med skade</v>
      </c>
      <c r="J85" s="6" t="str">
        <f>$G$5</f>
        <v>Differanse</v>
      </c>
      <c r="K85" s="224"/>
      <c r="L85" s="8" t="str">
        <f>B85</f>
        <v>Justering av alder andre omløp</v>
      </c>
      <c r="M85" s="8" t="str">
        <f>$E$5</f>
        <v>Nåverdi Beiteskade (Ved normal slutthogstalder)</v>
      </c>
      <c r="N85" s="8" t="str">
        <f>$F$5</f>
        <v>Slakteverdi i dag med skade</v>
      </c>
      <c r="O85" s="6" t="str">
        <f>$G$5</f>
        <v>Differanse</v>
      </c>
    </row>
    <row r="86" spans="1:15" x14ac:dyDescent="0.25">
      <c r="A86" s="109"/>
      <c r="B86" s="109"/>
      <c r="C86" s="181">
        <f>$E$6</f>
        <v>1682.2947342944058</v>
      </c>
      <c r="D86" s="181">
        <f>$F$6</f>
        <v>2075.7179003546566</v>
      </c>
      <c r="E86" s="181"/>
      <c r="F86" s="224"/>
      <c r="G86" s="109"/>
      <c r="H86" s="181">
        <f>$E$7</f>
        <v>1318.9675772429009</v>
      </c>
      <c r="I86" s="181">
        <f>$F$7</f>
        <v>1377.1299954649994</v>
      </c>
      <c r="J86" s="181"/>
      <c r="K86" s="224"/>
      <c r="M86" s="181">
        <f>$E$8</f>
        <v>813.63269173695994</v>
      </c>
      <c r="N86" s="181">
        <f>$F$8</f>
        <v>698.84556827411802</v>
      </c>
      <c r="O86" s="181"/>
    </row>
    <row r="87" spans="1:15" x14ac:dyDescent="0.25">
      <c r="A87" s="225">
        <f t="shared" ref="A87:A97" si="8">$B$21+B87</f>
        <v>65</v>
      </c>
      <c r="B87" s="225">
        <f t="shared" ref="B87:B89" si="9">-5+B88</f>
        <v>-25</v>
      </c>
      <c r="C87" s="181">
        <f t="dataTable" ref="C87:D97" dt2D="0" dtr="0" r1="D56" ca="1"/>
        <v>1577.21671657001</v>
      </c>
      <c r="D87" s="181">
        <v>1714.553329384973</v>
      </c>
      <c r="E87" s="181">
        <f>C87-D87</f>
        <v>-137.33661281496302</v>
      </c>
      <c r="F87" s="225">
        <f>A87</f>
        <v>65</v>
      </c>
      <c r="G87" s="225">
        <f>B87</f>
        <v>-25</v>
      </c>
      <c r="H87" s="181">
        <f t="dataTable" ref="H87:I97" dt2D="0" dtr="0" r1="D56" ca="1"/>
        <v>1236.5833816354871</v>
      </c>
      <c r="I87" s="181">
        <v>1247.2873358917707</v>
      </c>
      <c r="J87" s="181">
        <f t="shared" ref="J87:J97" si="10">H87-I87</f>
        <v>-10.703954256283623</v>
      </c>
      <c r="K87" s="225">
        <f>F87</f>
        <v>65</v>
      </c>
      <c r="L87" s="225">
        <f>G87</f>
        <v>-25</v>
      </c>
      <c r="M87" s="181">
        <f t="dataTable" ref="M87:N97" dt2D="0" dtr="0" r1="D56" ca="1"/>
        <v>762.81228039010841</v>
      </c>
      <c r="N87" s="181">
        <v>739.56556165416282</v>
      </c>
      <c r="O87" s="181">
        <f>M87-N87</f>
        <v>23.246718735945592</v>
      </c>
    </row>
    <row r="88" spans="1:15" x14ac:dyDescent="0.25">
      <c r="A88" s="225">
        <f t="shared" si="8"/>
        <v>70</v>
      </c>
      <c r="B88" s="225">
        <f t="shared" si="9"/>
        <v>-20</v>
      </c>
      <c r="C88" s="181">
        <v>1698.6594796541012</v>
      </c>
      <c r="D88" s="181">
        <v>2131.9653093261945</v>
      </c>
      <c r="E88" s="181">
        <f t="shared" ref="E88:E97" si="11">C88-D88</f>
        <v>-433.3058296720933</v>
      </c>
      <c r="F88" s="225">
        <f t="shared" ref="F88:F97" si="12">A88</f>
        <v>70</v>
      </c>
      <c r="G88" s="225">
        <f t="shared" ref="G88:G97" si="13">B88</f>
        <v>-20</v>
      </c>
      <c r="H88" s="181">
        <v>1331.7980094491384</v>
      </c>
      <c r="I88" s="181">
        <v>1508.0459725285082</v>
      </c>
      <c r="J88" s="181">
        <f t="shared" si="10"/>
        <v>-176.24796307936981</v>
      </c>
      <c r="K88" s="225">
        <f t="shared" ref="K88:K97" si="14">F88</f>
        <v>70</v>
      </c>
      <c r="L88" s="225">
        <f t="shared" ref="L88:L97" si="15">G88</f>
        <v>-20</v>
      </c>
      <c r="M88" s="181">
        <v>821.54741175906338</v>
      </c>
      <c r="N88" s="181">
        <v>843.91626051586502</v>
      </c>
      <c r="O88" s="181">
        <f t="shared" ref="O88:O97" si="16">M88-N88</f>
        <v>-22.36884875680164</v>
      </c>
    </row>
    <row r="89" spans="1:15" x14ac:dyDescent="0.25">
      <c r="A89" s="225">
        <f t="shared" si="8"/>
        <v>75</v>
      </c>
      <c r="B89" s="225">
        <f t="shared" si="9"/>
        <v>-15</v>
      </c>
      <c r="C89" s="181">
        <v>1622.9723530074089</v>
      </c>
      <c r="D89" s="181">
        <v>1871.8204263595417</v>
      </c>
      <c r="E89" s="181">
        <f t="shared" si="11"/>
        <v>-248.84807335213281</v>
      </c>
      <c r="F89" s="225">
        <f t="shared" si="12"/>
        <v>75</v>
      </c>
      <c r="G89" s="225">
        <f t="shared" si="13"/>
        <v>-15</v>
      </c>
      <c r="H89" s="181">
        <v>1272.4571198733679</v>
      </c>
      <c r="I89" s="181">
        <v>1313.0891901308078</v>
      </c>
      <c r="J89" s="181">
        <f t="shared" si="10"/>
        <v>-40.632070257439864</v>
      </c>
      <c r="K89" s="225">
        <f t="shared" si="14"/>
        <v>75</v>
      </c>
      <c r="L89" s="225">
        <f t="shared" si="15"/>
        <v>-15</v>
      </c>
      <c r="M89" s="181">
        <v>784.94174491126614</v>
      </c>
      <c r="N89" s="181">
        <v>731.06822140623444</v>
      </c>
      <c r="O89" s="181">
        <f t="shared" si="16"/>
        <v>53.873523505031699</v>
      </c>
    </row>
    <row r="90" spans="1:15" x14ac:dyDescent="0.25">
      <c r="A90" s="225">
        <f t="shared" si="8"/>
        <v>80</v>
      </c>
      <c r="B90" s="225">
        <f>-5+B91</f>
        <v>-10</v>
      </c>
      <c r="C90" s="181">
        <v>1709.1906155639231</v>
      </c>
      <c r="D90" s="181">
        <v>2168.1619683902259</v>
      </c>
      <c r="E90" s="181">
        <f t="shared" si="11"/>
        <v>-458.97135282630279</v>
      </c>
      <c r="F90" s="225">
        <f t="shared" si="12"/>
        <v>80</v>
      </c>
      <c r="G90" s="225">
        <f t="shared" si="13"/>
        <v>-10</v>
      </c>
      <c r="H90" s="181">
        <v>1340.0547236463799</v>
      </c>
      <c r="I90" s="181">
        <v>1483.2015381354836</v>
      </c>
      <c r="J90" s="181">
        <f t="shared" si="10"/>
        <v>-143.14681448910369</v>
      </c>
      <c r="K90" s="225">
        <f t="shared" si="14"/>
        <v>80</v>
      </c>
      <c r="L90" s="225">
        <f t="shared" si="15"/>
        <v>-10</v>
      </c>
      <c r="M90" s="181">
        <v>826.64073832228883</v>
      </c>
      <c r="N90" s="181">
        <v>785.62119268672416</v>
      </c>
      <c r="O90" s="181">
        <f t="shared" si="16"/>
        <v>41.019545635564668</v>
      </c>
    </row>
    <row r="91" spans="1:15" x14ac:dyDescent="0.25">
      <c r="A91" s="225">
        <f t="shared" si="8"/>
        <v>85</v>
      </c>
      <c r="B91" s="225">
        <f>-5+B92</f>
        <v>-5</v>
      </c>
      <c r="C91" s="181">
        <v>1635.0714210053209</v>
      </c>
      <c r="D91" s="181">
        <v>1913.4062384754511</v>
      </c>
      <c r="E91" s="181">
        <f t="shared" si="11"/>
        <v>-278.33481747013025</v>
      </c>
      <c r="F91" s="225">
        <f t="shared" si="12"/>
        <v>85</v>
      </c>
      <c r="G91" s="225">
        <f t="shared" si="13"/>
        <v>-5</v>
      </c>
      <c r="H91" s="181">
        <v>1281.9431380358133</v>
      </c>
      <c r="I91" s="181">
        <v>1297.874116327956</v>
      </c>
      <c r="J91" s="181">
        <f t="shared" si="10"/>
        <v>-15.930978292142754</v>
      </c>
      <c r="K91" s="225">
        <f t="shared" si="14"/>
        <v>85</v>
      </c>
      <c r="L91" s="225">
        <f t="shared" si="15"/>
        <v>-5</v>
      </c>
      <c r="M91" s="181">
        <v>790.79339329485254</v>
      </c>
      <c r="N91" s="181">
        <v>685.54175001424619</v>
      </c>
      <c r="O91" s="181">
        <f t="shared" si="16"/>
        <v>105.25164328060634</v>
      </c>
    </row>
    <row r="92" spans="1:15" x14ac:dyDescent="0.25">
      <c r="A92" s="225">
        <f t="shared" si="8"/>
        <v>90</v>
      </c>
      <c r="B92" s="225">
        <v>0</v>
      </c>
      <c r="C92" s="181">
        <v>1682.2947342944058</v>
      </c>
      <c r="D92" s="181">
        <v>2075.7179003546566</v>
      </c>
      <c r="E92" s="181">
        <f t="shared" si="11"/>
        <v>-393.42316606025088</v>
      </c>
      <c r="F92" s="225">
        <f t="shared" si="12"/>
        <v>90</v>
      </c>
      <c r="G92" s="225">
        <f t="shared" si="13"/>
        <v>0</v>
      </c>
      <c r="H92" s="181">
        <v>1318.9675772429009</v>
      </c>
      <c r="I92" s="181">
        <v>1377.1299954649994</v>
      </c>
      <c r="J92" s="181">
        <f t="shared" si="10"/>
        <v>-58.162418222098495</v>
      </c>
      <c r="K92" s="225">
        <f t="shared" si="14"/>
        <v>90</v>
      </c>
      <c r="L92" s="225">
        <f t="shared" si="15"/>
        <v>0</v>
      </c>
      <c r="M92" s="181">
        <v>813.63269173695994</v>
      </c>
      <c r="N92" s="181">
        <v>698.84556827411802</v>
      </c>
      <c r="O92" s="181">
        <f t="shared" si="16"/>
        <v>114.78712346284192</v>
      </c>
    </row>
    <row r="93" spans="1:15" x14ac:dyDescent="0.25">
      <c r="A93" s="225">
        <f t="shared" si="8"/>
        <v>95</v>
      </c>
      <c r="B93" s="225">
        <f t="shared" ref="B93:B97" si="17">B92+5</f>
        <v>5</v>
      </c>
      <c r="C93" s="181">
        <v>1613.8289811339253</v>
      </c>
      <c r="D93" s="181">
        <v>1840.3936631656989</v>
      </c>
      <c r="E93" s="181">
        <f t="shared" si="11"/>
        <v>-226.5646820317736</v>
      </c>
      <c r="F93" s="225">
        <f t="shared" si="12"/>
        <v>95</v>
      </c>
      <c r="G93" s="225">
        <f t="shared" si="13"/>
        <v>5</v>
      </c>
      <c r="H93" s="181">
        <v>1265.2884526939763</v>
      </c>
      <c r="I93" s="181">
        <v>1211.402808932055</v>
      </c>
      <c r="J93" s="181">
        <f t="shared" si="10"/>
        <v>53.885643761921301</v>
      </c>
      <c r="K93" s="225">
        <f t="shared" si="14"/>
        <v>95</v>
      </c>
      <c r="L93" s="225">
        <f t="shared" si="15"/>
        <v>5</v>
      </c>
      <c r="M93" s="181">
        <v>780.51960287080215</v>
      </c>
      <c r="N93" s="181">
        <v>615.78634212004135</v>
      </c>
      <c r="O93" s="181">
        <f t="shared" si="16"/>
        <v>164.73326075076079</v>
      </c>
    </row>
    <row r="94" spans="1:15" x14ac:dyDescent="0.25">
      <c r="A94" s="225">
        <f t="shared" si="8"/>
        <v>100</v>
      </c>
      <c r="B94" s="225">
        <f t="shared" si="17"/>
        <v>10</v>
      </c>
      <c r="C94" s="181">
        <v>1613.0833196283818</v>
      </c>
      <c r="D94" s="181">
        <v>1837.8307435030483</v>
      </c>
      <c r="E94" s="181">
        <f t="shared" si="11"/>
        <v>-224.74742387466654</v>
      </c>
      <c r="F94" s="225">
        <f t="shared" si="12"/>
        <v>100</v>
      </c>
      <c r="G94" s="225">
        <f t="shared" si="13"/>
        <v>10</v>
      </c>
      <c r="H94" s="181">
        <v>1264.7038325739934</v>
      </c>
      <c r="I94" s="181">
        <v>1189.8793096896873</v>
      </c>
      <c r="J94" s="181">
        <f t="shared" si="10"/>
        <v>74.824522884306134</v>
      </c>
      <c r="K94" s="225">
        <f t="shared" si="14"/>
        <v>100</v>
      </c>
      <c r="L94" s="225">
        <f t="shared" si="15"/>
        <v>10</v>
      </c>
      <c r="M94" s="181">
        <v>780.15896774218163</v>
      </c>
      <c r="N94" s="181">
        <v>591.87662425452982</v>
      </c>
      <c r="O94" s="181">
        <f t="shared" si="16"/>
        <v>188.28234348765181</v>
      </c>
    </row>
    <row r="95" spans="1:15" x14ac:dyDescent="0.25">
      <c r="A95" s="225">
        <f t="shared" si="8"/>
        <v>105</v>
      </c>
      <c r="B95" s="225">
        <f t="shared" si="17"/>
        <v>15</v>
      </c>
      <c r="C95" s="181">
        <v>1554.8569283745119</v>
      </c>
      <c r="D95" s="181">
        <v>1637.700306407502</v>
      </c>
      <c r="E95" s="181">
        <f t="shared" si="11"/>
        <v>-82.843378032990131</v>
      </c>
      <c r="F95" s="225">
        <f t="shared" si="12"/>
        <v>105</v>
      </c>
      <c r="G95" s="225">
        <f t="shared" si="13"/>
        <v>15</v>
      </c>
      <c r="H95" s="181">
        <v>1219.0526629910812</v>
      </c>
      <c r="I95" s="181">
        <v>1053.7661382908709</v>
      </c>
      <c r="J95" s="181">
        <f t="shared" si="10"/>
        <v>165.28652470021029</v>
      </c>
      <c r="K95" s="225">
        <f t="shared" si="14"/>
        <v>105</v>
      </c>
      <c r="L95" s="225">
        <f t="shared" si="15"/>
        <v>15</v>
      </c>
      <c r="M95" s="181">
        <v>751.99809053068293</v>
      </c>
      <c r="N95" s="181">
        <v>528.84068682158772</v>
      </c>
      <c r="O95" s="181">
        <f t="shared" si="16"/>
        <v>223.15740370909521</v>
      </c>
    </row>
    <row r="96" spans="1:15" x14ac:dyDescent="0.25">
      <c r="A96" s="225">
        <f t="shared" si="8"/>
        <v>110</v>
      </c>
      <c r="B96" s="225">
        <f t="shared" si="17"/>
        <v>20</v>
      </c>
      <c r="C96" s="181">
        <v>1504.413931766474</v>
      </c>
      <c r="D96" s="181">
        <v>1464.3222429180382</v>
      </c>
      <c r="E96" s="181">
        <f t="shared" si="11"/>
        <v>40.091688848435751</v>
      </c>
      <c r="F96" s="225">
        <f t="shared" si="12"/>
        <v>110</v>
      </c>
      <c r="G96" s="225">
        <f t="shared" si="13"/>
        <v>20</v>
      </c>
      <c r="H96" s="181">
        <v>1179.5038992288971</v>
      </c>
      <c r="I96" s="181">
        <v>937.98009733653157</v>
      </c>
      <c r="J96" s="181">
        <f t="shared" si="10"/>
        <v>241.52380189236555</v>
      </c>
      <c r="K96" s="225">
        <f t="shared" si="14"/>
        <v>110</v>
      </c>
      <c r="L96" s="225">
        <f t="shared" si="15"/>
        <v>20</v>
      </c>
      <c r="M96" s="181">
        <v>727.60160977566807</v>
      </c>
      <c r="N96" s="181">
        <v>477.36707879385335</v>
      </c>
      <c r="O96" s="181">
        <f t="shared" si="16"/>
        <v>250.23453098181471</v>
      </c>
    </row>
    <row r="97" spans="1:15" x14ac:dyDescent="0.25">
      <c r="A97" s="225">
        <f t="shared" si="8"/>
        <v>115</v>
      </c>
      <c r="B97" s="225">
        <f t="shared" si="17"/>
        <v>25</v>
      </c>
      <c r="C97" s="181">
        <v>1460.6048144276047</v>
      </c>
      <c r="D97" s="181">
        <v>1313.7455437100953</v>
      </c>
      <c r="E97" s="181">
        <f t="shared" si="11"/>
        <v>146.85927071750939</v>
      </c>
      <c r="F97" s="225">
        <f t="shared" si="12"/>
        <v>115</v>
      </c>
      <c r="G97" s="225">
        <f t="shared" si="13"/>
        <v>25</v>
      </c>
      <c r="H97" s="181">
        <v>1145.1562880881929</v>
      </c>
      <c r="I97" s="181">
        <v>839.28888728665254</v>
      </c>
      <c r="J97" s="181">
        <f t="shared" si="10"/>
        <v>305.86740080154038</v>
      </c>
      <c r="K97" s="225">
        <f t="shared" si="14"/>
        <v>115</v>
      </c>
      <c r="L97" s="225">
        <f t="shared" si="15"/>
        <v>25</v>
      </c>
      <c r="M97" s="181">
        <v>706.41356862187195</v>
      </c>
      <c r="N97" s="181">
        <v>435.28538921511415</v>
      </c>
      <c r="O97" s="181">
        <f t="shared" si="16"/>
        <v>271.12817940675779</v>
      </c>
    </row>
    <row r="98" spans="1:15" x14ac:dyDescent="0.25">
      <c r="A98" s="109"/>
      <c r="B98" s="109"/>
      <c r="C98" s="109"/>
      <c r="D98" s="109"/>
      <c r="E98" s="109"/>
      <c r="F98" s="224"/>
      <c r="G98" s="224"/>
      <c r="H98" s="224"/>
      <c r="I98" s="224"/>
      <c r="J98" s="224"/>
      <c r="K98" s="224"/>
    </row>
    <row r="99" spans="1:15" x14ac:dyDescent="0.25">
      <c r="A99" s="109"/>
      <c r="B99" s="109"/>
      <c r="C99" s="109"/>
      <c r="D99" s="109"/>
      <c r="E99" s="109"/>
      <c r="F99" s="224"/>
      <c r="G99" s="224"/>
      <c r="H99" s="224"/>
      <c r="I99" s="224"/>
      <c r="J99" s="224"/>
      <c r="K99" s="224"/>
    </row>
    <row r="100" spans="1:15" x14ac:dyDescent="0.25">
      <c r="A100" s="109"/>
      <c r="B100" s="109"/>
      <c r="C100" s="109"/>
      <c r="D100" s="109"/>
      <c r="E100" s="109"/>
      <c r="F100" s="224"/>
      <c r="G100" s="224"/>
      <c r="H100" s="224"/>
      <c r="I100" s="224"/>
      <c r="J100" s="224"/>
      <c r="K100" s="224"/>
    </row>
    <row r="101" spans="1:15" x14ac:dyDescent="0.25">
      <c r="A101" s="109"/>
      <c r="B101" s="109"/>
      <c r="C101" s="109"/>
      <c r="D101" s="109"/>
      <c r="E101" s="109"/>
      <c r="F101" s="224"/>
      <c r="G101" s="224"/>
      <c r="H101" s="224"/>
      <c r="I101" s="224"/>
      <c r="J101" s="224"/>
      <c r="K101" s="224"/>
    </row>
    <row r="102" spans="1:15" ht="75" x14ac:dyDescent="0.25">
      <c r="A102" s="109" t="s">
        <v>191</v>
      </c>
      <c r="B102" s="8" t="s">
        <v>161</v>
      </c>
      <c r="C102" s="8" t="str">
        <f>$E$5</f>
        <v>Nåverdi Beiteskade (Ved normal slutthogstalder)</v>
      </c>
      <c r="D102" s="8" t="str">
        <f>$F$5</f>
        <v>Slakteverdi i dag med skade</v>
      </c>
      <c r="E102" s="6" t="str">
        <f>$G$5</f>
        <v>Differanse</v>
      </c>
      <c r="F102" s="224"/>
      <c r="G102" s="8" t="str">
        <f>B102</f>
        <v>Endring i massevirkepriser</v>
      </c>
      <c r="H102" s="8" t="str">
        <f>$E$5</f>
        <v>Nåverdi Beiteskade (Ved normal slutthogstalder)</v>
      </c>
      <c r="I102" s="8" t="str">
        <f>$F$5</f>
        <v>Slakteverdi i dag med skade</v>
      </c>
      <c r="J102" s="6" t="str">
        <f>$G$5</f>
        <v>Differanse</v>
      </c>
      <c r="K102" s="224"/>
      <c r="L102" s="8" t="str">
        <f>B102</f>
        <v>Endring i massevirkepriser</v>
      </c>
      <c r="M102" s="8" t="str">
        <f>$E$5</f>
        <v>Nåverdi Beiteskade (Ved normal slutthogstalder)</v>
      </c>
      <c r="N102" s="8" t="str">
        <f>$F$5</f>
        <v>Slakteverdi i dag med skade</v>
      </c>
      <c r="O102" s="6" t="str">
        <f>$G$5</f>
        <v>Differanse</v>
      </c>
    </row>
    <row r="103" spans="1:15" x14ac:dyDescent="0.25">
      <c r="A103" s="109"/>
      <c r="B103" s="109"/>
      <c r="C103" s="181">
        <f>$E$6</f>
        <v>1682.2947342944058</v>
      </c>
      <c r="D103" s="181">
        <f>$F$6</f>
        <v>2075.7179003546566</v>
      </c>
      <c r="E103" s="181"/>
      <c r="F103" s="224"/>
      <c r="G103" s="109"/>
      <c r="H103" s="181">
        <f>$E$7</f>
        <v>1318.9675772429009</v>
      </c>
      <c r="I103" s="181">
        <f>$F$7</f>
        <v>1377.1299954649994</v>
      </c>
      <c r="J103" s="181"/>
      <c r="K103" s="224"/>
      <c r="M103" s="181">
        <f>$E$8</f>
        <v>813.63269173695994</v>
      </c>
      <c r="N103" s="181">
        <f>$F$8</f>
        <v>698.84556827411802</v>
      </c>
      <c r="O103" s="181"/>
    </row>
    <row r="104" spans="1:15" x14ac:dyDescent="0.25">
      <c r="A104" s="225"/>
      <c r="B104" s="225">
        <f t="shared" ref="B104:B107" si="18">-10+B105</f>
        <v>170</v>
      </c>
      <c r="C104" s="181">
        <f t="dataTable" ref="C104:D114" dt2D="0" dtr="0" r1="B39" ca="1"/>
        <v>1491.7391638527283</v>
      </c>
      <c r="D104" s="181">
        <v>1967.5376876014843</v>
      </c>
      <c r="E104" s="181">
        <f>C104-D104</f>
        <v>-475.798523748756</v>
      </c>
      <c r="F104" s="224"/>
      <c r="G104" s="225">
        <f t="shared" ref="G104:G107" si="19">-10+G105</f>
        <v>170</v>
      </c>
      <c r="H104" s="181">
        <v>2910.9328576588832</v>
      </c>
      <c r="I104" s="181">
        <v>3490.6005520810363</v>
      </c>
      <c r="J104" s="181">
        <f t="shared" ref="J104:J114" si="20">H104-I104</f>
        <v>-579.66769442215309</v>
      </c>
      <c r="K104" s="224"/>
      <c r="L104" s="225">
        <f t="shared" ref="L104:L107" si="21">-10+L105</f>
        <v>170</v>
      </c>
      <c r="M104" s="181">
        <f t="dataTable" ref="M104:N114" dt2D="0" dtr="0" r1="B39" ca="1"/>
        <v>721.47152726124625</v>
      </c>
      <c r="N104" s="181">
        <v>640.31219441808014</v>
      </c>
      <c r="O104" s="181">
        <f>M104-N104</f>
        <v>81.159332843166112</v>
      </c>
    </row>
    <row r="105" spans="1:15" x14ac:dyDescent="0.25">
      <c r="A105" s="225"/>
      <c r="B105" s="225">
        <f t="shared" si="18"/>
        <v>180</v>
      </c>
      <c r="C105" s="181">
        <v>1529.8502779410637</v>
      </c>
      <c r="D105" s="181">
        <v>1989.1737301521184</v>
      </c>
      <c r="E105" s="181">
        <f t="shared" ref="E105:E114" si="22">C105-D105</f>
        <v>-459.3234522110547</v>
      </c>
      <c r="F105" s="224"/>
      <c r="G105" s="225">
        <f t="shared" si="19"/>
        <v>180</v>
      </c>
      <c r="H105" s="181">
        <v>3067.5324863113365</v>
      </c>
      <c r="I105" s="181">
        <v>3546.7605520810366</v>
      </c>
      <c r="J105" s="181">
        <f t="shared" si="20"/>
        <v>-479.22806576970015</v>
      </c>
      <c r="K105" s="224"/>
      <c r="L105" s="225">
        <f t="shared" si="21"/>
        <v>180</v>
      </c>
      <c r="M105" s="181">
        <v>739.9037601563889</v>
      </c>
      <c r="N105" s="181">
        <v>652.01886918928767</v>
      </c>
      <c r="O105" s="181">
        <f t="shared" ref="O105:O114" si="23">M105-N105</f>
        <v>87.884890967101228</v>
      </c>
    </row>
    <row r="106" spans="1:15" x14ac:dyDescent="0.25">
      <c r="A106" s="225"/>
      <c r="B106" s="225">
        <f t="shared" si="18"/>
        <v>190</v>
      </c>
      <c r="C106" s="181">
        <v>1567.9613920293991</v>
      </c>
      <c r="D106" s="181">
        <v>2010.809772702753</v>
      </c>
      <c r="E106" s="181">
        <f t="shared" si="22"/>
        <v>-442.84838067335386</v>
      </c>
      <c r="F106" s="224"/>
      <c r="G106" s="225">
        <f t="shared" si="19"/>
        <v>190</v>
      </c>
      <c r="H106" s="181">
        <v>3224.1321149637897</v>
      </c>
      <c r="I106" s="181">
        <v>3602.9205520810365</v>
      </c>
      <c r="J106" s="181">
        <f t="shared" si="20"/>
        <v>-378.78843711724676</v>
      </c>
      <c r="K106" s="224"/>
      <c r="L106" s="225">
        <f t="shared" si="21"/>
        <v>190</v>
      </c>
      <c r="M106" s="181">
        <v>758.33599305153166</v>
      </c>
      <c r="N106" s="181">
        <v>663.72554396049532</v>
      </c>
      <c r="O106" s="181">
        <f t="shared" si="23"/>
        <v>94.610449091036344</v>
      </c>
    </row>
    <row r="107" spans="1:15" x14ac:dyDescent="0.25">
      <c r="A107" s="225"/>
      <c r="B107" s="225">
        <f t="shared" si="18"/>
        <v>200</v>
      </c>
      <c r="C107" s="181">
        <v>1606.072506117735</v>
      </c>
      <c r="D107" s="181">
        <v>2032.4458152533873</v>
      </c>
      <c r="E107" s="181">
        <f t="shared" si="22"/>
        <v>-426.37330913565233</v>
      </c>
      <c r="F107" s="224"/>
      <c r="G107" s="225">
        <f t="shared" si="19"/>
        <v>200</v>
      </c>
      <c r="H107" s="181">
        <v>3380.731743616243</v>
      </c>
      <c r="I107" s="181">
        <v>3659.0805520810363</v>
      </c>
      <c r="J107" s="181">
        <f t="shared" si="20"/>
        <v>-278.34880846479336</v>
      </c>
      <c r="L107" s="225">
        <f t="shared" si="21"/>
        <v>200</v>
      </c>
      <c r="M107" s="181">
        <v>776.76822594667442</v>
      </c>
      <c r="N107" s="181">
        <v>675.43221873170273</v>
      </c>
      <c r="O107" s="181">
        <f t="shared" si="23"/>
        <v>101.33600721497169</v>
      </c>
    </row>
    <row r="108" spans="1:15" x14ac:dyDescent="0.25">
      <c r="A108" s="225"/>
      <c r="B108" s="225">
        <f>-10+B109</f>
        <v>210</v>
      </c>
      <c r="C108" s="181">
        <v>1644.1836202060704</v>
      </c>
      <c r="D108" s="181">
        <v>2054.0818578040221</v>
      </c>
      <c r="E108" s="181">
        <f t="shared" si="22"/>
        <v>-409.89823759795172</v>
      </c>
      <c r="F108" s="109"/>
      <c r="G108" s="225">
        <f>-10+G109</f>
        <v>210</v>
      </c>
      <c r="H108" s="181">
        <v>3537.3313722686962</v>
      </c>
      <c r="I108" s="181">
        <v>3715.2405520810362</v>
      </c>
      <c r="J108" s="181">
        <f t="shared" si="20"/>
        <v>-177.90917981233997</v>
      </c>
      <c r="L108" s="225">
        <f>-10+L109</f>
        <v>210</v>
      </c>
      <c r="M108" s="181">
        <v>795.20045884181718</v>
      </c>
      <c r="N108" s="181">
        <v>687.13889350291038</v>
      </c>
      <c r="O108" s="181">
        <f t="shared" si="23"/>
        <v>108.0615653389068</v>
      </c>
    </row>
    <row r="109" spans="1:15" x14ac:dyDescent="0.25">
      <c r="A109" s="225"/>
      <c r="B109" s="225">
        <v>220</v>
      </c>
      <c r="C109" s="181">
        <v>1682.2947342944058</v>
      </c>
      <c r="D109" s="181">
        <v>2075.7179003546566</v>
      </c>
      <c r="E109" s="181">
        <f t="shared" si="22"/>
        <v>-393.42316606025088</v>
      </c>
      <c r="F109" s="109"/>
      <c r="G109" s="225">
        <v>220</v>
      </c>
      <c r="H109" s="181">
        <v>3693.9310009211495</v>
      </c>
      <c r="I109" s="181">
        <v>3771.4005520810365</v>
      </c>
      <c r="J109" s="181">
        <f t="shared" si="20"/>
        <v>-77.469551159887033</v>
      </c>
      <c r="L109" s="225">
        <v>220</v>
      </c>
      <c r="M109" s="181">
        <v>813.63269173695994</v>
      </c>
      <c r="N109" s="181">
        <v>698.84556827411802</v>
      </c>
      <c r="O109" s="181">
        <f t="shared" si="23"/>
        <v>114.78712346284192</v>
      </c>
    </row>
    <row r="110" spans="1:15" x14ac:dyDescent="0.25">
      <c r="A110" s="225"/>
      <c r="B110" s="225">
        <f>B109+10</f>
        <v>230</v>
      </c>
      <c r="C110" s="181">
        <v>1720.4058483827412</v>
      </c>
      <c r="D110" s="181">
        <v>2097.3539429052912</v>
      </c>
      <c r="E110" s="181">
        <f t="shared" si="22"/>
        <v>-376.94809452255004</v>
      </c>
      <c r="F110" s="109"/>
      <c r="G110" s="225">
        <f>G109+10</f>
        <v>230</v>
      </c>
      <c r="H110" s="181">
        <v>3850.5306295736036</v>
      </c>
      <c r="I110" s="181">
        <v>3827.5605520810368</v>
      </c>
      <c r="J110" s="181">
        <f t="shared" si="20"/>
        <v>22.970077492566816</v>
      </c>
      <c r="L110" s="225">
        <f>L109+10</f>
        <v>230</v>
      </c>
      <c r="M110" s="181">
        <v>832.0649246321027</v>
      </c>
      <c r="N110" s="181">
        <v>710.55224304532567</v>
      </c>
      <c r="O110" s="181">
        <f t="shared" si="23"/>
        <v>121.51268158677703</v>
      </c>
    </row>
    <row r="111" spans="1:15" x14ac:dyDescent="0.25">
      <c r="A111" s="225"/>
      <c r="B111" s="225">
        <f t="shared" ref="B111:B114" si="24">B110+10</f>
        <v>240</v>
      </c>
      <c r="C111" s="181">
        <v>1758.5169624710768</v>
      </c>
      <c r="D111" s="181">
        <v>2118.9899854559258</v>
      </c>
      <c r="E111" s="181">
        <f t="shared" si="22"/>
        <v>-360.47302298484897</v>
      </c>
      <c r="F111" s="109"/>
      <c r="G111" s="225">
        <f t="shared" ref="G111:G114" si="25">G110+10</f>
        <v>240</v>
      </c>
      <c r="H111" s="181">
        <v>4007.1302582260569</v>
      </c>
      <c r="I111" s="181">
        <v>3883.7205520810367</v>
      </c>
      <c r="J111" s="181">
        <f t="shared" si="20"/>
        <v>123.40970614502021</v>
      </c>
      <c r="L111" s="225">
        <f t="shared" ref="L111:L114" si="26">L110+10</f>
        <v>240</v>
      </c>
      <c r="M111" s="181">
        <v>850.49715752724546</v>
      </c>
      <c r="N111" s="181">
        <v>722.25891781653308</v>
      </c>
      <c r="O111" s="181">
        <f t="shared" si="23"/>
        <v>128.23823971071238</v>
      </c>
    </row>
    <row r="112" spans="1:15" x14ac:dyDescent="0.25">
      <c r="A112" s="225"/>
      <c r="B112" s="225">
        <f t="shared" si="24"/>
        <v>250</v>
      </c>
      <c r="C112" s="181">
        <v>1796.6280765594122</v>
      </c>
      <c r="D112" s="181">
        <v>2140.6260280065603</v>
      </c>
      <c r="E112" s="181">
        <f t="shared" si="22"/>
        <v>-343.99795144714813</v>
      </c>
      <c r="F112" s="109"/>
      <c r="G112" s="225">
        <f t="shared" si="25"/>
        <v>250</v>
      </c>
      <c r="H112" s="181">
        <v>4163.7298868785101</v>
      </c>
      <c r="I112" s="181">
        <v>3939.8805520810365</v>
      </c>
      <c r="J112" s="181">
        <f t="shared" si="20"/>
        <v>223.8493347974736</v>
      </c>
      <c r="L112" s="225">
        <f t="shared" si="26"/>
        <v>250</v>
      </c>
      <c r="M112" s="181">
        <v>868.92939042238822</v>
      </c>
      <c r="N112" s="181">
        <v>733.96559258774073</v>
      </c>
      <c r="O112" s="181">
        <f t="shared" si="23"/>
        <v>134.96379783464749</v>
      </c>
    </row>
    <row r="113" spans="1:15" x14ac:dyDescent="0.25">
      <c r="A113" s="225"/>
      <c r="B113" s="225">
        <f t="shared" si="24"/>
        <v>260</v>
      </c>
      <c r="C113" s="181">
        <v>1834.7391906477478</v>
      </c>
      <c r="D113" s="181">
        <v>2162.2620705571949</v>
      </c>
      <c r="E113" s="181">
        <f t="shared" si="22"/>
        <v>-327.52287990944706</v>
      </c>
      <c r="F113" s="109"/>
      <c r="G113" s="225">
        <f t="shared" si="25"/>
        <v>260</v>
      </c>
      <c r="H113" s="181">
        <v>4320.3295155309634</v>
      </c>
      <c r="I113" s="181">
        <v>3996.0405520810364</v>
      </c>
      <c r="J113" s="181">
        <f t="shared" si="20"/>
        <v>324.288963449927</v>
      </c>
      <c r="L113" s="225">
        <f t="shared" si="26"/>
        <v>260</v>
      </c>
      <c r="M113" s="181">
        <v>887.36162331753121</v>
      </c>
      <c r="N113" s="181">
        <v>745.67226735894837</v>
      </c>
      <c r="O113" s="181">
        <f t="shared" si="23"/>
        <v>141.68935595858284</v>
      </c>
    </row>
    <row r="114" spans="1:15" x14ac:dyDescent="0.25">
      <c r="A114" s="225"/>
      <c r="B114" s="225">
        <f t="shared" si="24"/>
        <v>270</v>
      </c>
      <c r="C114" s="181">
        <v>1872.8503047360837</v>
      </c>
      <c r="D114" s="181">
        <v>2183.8981131078299</v>
      </c>
      <c r="E114" s="181">
        <f t="shared" si="22"/>
        <v>-311.04780837174621</v>
      </c>
      <c r="F114" s="109"/>
      <c r="G114" s="225">
        <f t="shared" si="25"/>
        <v>270</v>
      </c>
      <c r="H114" s="181">
        <v>4476.9291441834166</v>
      </c>
      <c r="I114" s="181">
        <v>4052.2005520810362</v>
      </c>
      <c r="J114" s="181">
        <f t="shared" si="20"/>
        <v>424.72859210238039</v>
      </c>
      <c r="L114" s="225">
        <f t="shared" si="26"/>
        <v>270</v>
      </c>
      <c r="M114" s="181">
        <v>905.79385621267397</v>
      </c>
      <c r="N114" s="181">
        <v>757.37894213015602</v>
      </c>
      <c r="O114" s="181">
        <f t="shared" si="23"/>
        <v>148.41491408251795</v>
      </c>
    </row>
    <row r="115" spans="1:15" x14ac:dyDescent="0.25">
      <c r="A115" s="109"/>
      <c r="B115" s="109"/>
      <c r="C115" s="109"/>
      <c r="D115" s="109"/>
      <c r="E115" s="109"/>
      <c r="F115" s="109"/>
      <c r="G115" s="109"/>
      <c r="H115" s="109"/>
    </row>
    <row r="116" spans="1:15" x14ac:dyDescent="0.25">
      <c r="A116" s="109"/>
      <c r="B116" s="109"/>
      <c r="C116" s="109"/>
      <c r="D116" s="109"/>
      <c r="E116" s="109"/>
      <c r="F116" s="109"/>
      <c r="G116" s="109"/>
      <c r="H116" s="109"/>
    </row>
    <row r="117" spans="1:15" x14ac:dyDescent="0.25">
      <c r="A117" s="109"/>
      <c r="B117" s="109"/>
      <c r="C117" s="109"/>
      <c r="D117" s="109"/>
      <c r="E117" s="109"/>
      <c r="F117" s="109"/>
      <c r="G117" s="109"/>
      <c r="H117" s="109"/>
    </row>
    <row r="118" spans="1:15" x14ac:dyDescent="0.25">
      <c r="A118" s="109"/>
      <c r="B118" s="109"/>
      <c r="C118" s="109"/>
      <c r="D118" s="109"/>
      <c r="E118" s="109"/>
      <c r="F118" s="109"/>
      <c r="G118" s="109"/>
      <c r="H118" s="109"/>
    </row>
    <row r="119" spans="1:15" ht="75" x14ac:dyDescent="0.25">
      <c r="A119" s="109" t="s">
        <v>192</v>
      </c>
      <c r="B119" s="8" t="s">
        <v>160</v>
      </c>
      <c r="C119" s="8" t="str">
        <f>$E$5</f>
        <v>Nåverdi Beiteskade (Ved normal slutthogstalder)</v>
      </c>
      <c r="D119" s="8" t="str">
        <f>$F$5</f>
        <v>Slakteverdi i dag med skade</v>
      </c>
      <c r="E119" s="6" t="str">
        <f>$G$5</f>
        <v>Differanse</v>
      </c>
      <c r="F119" s="109"/>
      <c r="G119" s="8" t="s">
        <v>160</v>
      </c>
      <c r="H119" s="8" t="str">
        <f>$E$5</f>
        <v>Nåverdi Beiteskade (Ved normal slutthogstalder)</v>
      </c>
      <c r="I119" s="8" t="str">
        <f>$F$5</f>
        <v>Slakteverdi i dag med skade</v>
      </c>
      <c r="J119" s="6" t="str">
        <f>$G$5</f>
        <v>Differanse</v>
      </c>
      <c r="L119" s="8" t="s">
        <v>160</v>
      </c>
      <c r="M119" s="8" t="str">
        <f>$E$5</f>
        <v>Nåverdi Beiteskade (Ved normal slutthogstalder)</v>
      </c>
      <c r="N119" s="8" t="str">
        <f>$F$5</f>
        <v>Slakteverdi i dag med skade</v>
      </c>
      <c r="O119" s="6" t="str">
        <f>$G$5</f>
        <v>Differanse</v>
      </c>
    </row>
    <row r="120" spans="1:15" x14ac:dyDescent="0.25">
      <c r="A120" s="225"/>
      <c r="B120" s="225" t="s">
        <v>1</v>
      </c>
      <c r="C120" s="181">
        <f>$E$6</f>
        <v>1682.2947342944058</v>
      </c>
      <c r="D120" s="181">
        <f>$F$6</f>
        <v>2075.7179003546566</v>
      </c>
      <c r="E120" s="181"/>
      <c r="F120" s="109"/>
      <c r="G120" s="109" t="s">
        <v>1</v>
      </c>
      <c r="H120" s="181">
        <f>$E$7</f>
        <v>1318.9675772429009</v>
      </c>
      <c r="I120" s="181">
        <f>$F$7</f>
        <v>1377.1299954649994</v>
      </c>
      <c r="J120" s="181"/>
      <c r="L120" s="1" t="s">
        <v>1</v>
      </c>
      <c r="M120" s="181">
        <f>$E$8</f>
        <v>813.63269173695994</v>
      </c>
      <c r="N120" s="181">
        <f>$F$8</f>
        <v>698.84556827411802</v>
      </c>
      <c r="O120" s="181"/>
    </row>
    <row r="121" spans="1:15" x14ac:dyDescent="0.25">
      <c r="A121" s="225"/>
      <c r="B121" s="224">
        <v>8</v>
      </c>
      <c r="C121" s="181">
        <f t="dataTable" ref="C121:D125" dt2D="0" dtr="0" r1="B15" ca="1"/>
        <v>161.81580267742569</v>
      </c>
      <c r="D121" s="181">
        <v>211.24599395054679</v>
      </c>
      <c r="E121" s="181">
        <f>C121-D121</f>
        <v>-49.430191273121096</v>
      </c>
      <c r="F121" s="109"/>
      <c r="G121" s="109">
        <v>8</v>
      </c>
      <c r="H121" s="181">
        <f t="dataTable" ref="H121:I125" dt2D="0" dtr="0" r1="B15" ca="1"/>
        <v>99.468369853522773</v>
      </c>
      <c r="I121" s="181">
        <v>105.19370609253133</v>
      </c>
      <c r="J121" s="181">
        <f>H121-I121</f>
        <v>-5.7253362390085556</v>
      </c>
      <c r="L121" s="1">
        <v>8</v>
      </c>
      <c r="M121" s="181">
        <f t="dataTable" ref="M121:N125" dt2D="0" dtr="0" r1="B15" ca="1"/>
        <v>37.850667363835683</v>
      </c>
      <c r="N121" s="181">
        <v>26.874798592342284</v>
      </c>
      <c r="O121" s="181">
        <f>M121-N121</f>
        <v>10.975868771493399</v>
      </c>
    </row>
    <row r="122" spans="1:15" x14ac:dyDescent="0.25">
      <c r="A122" s="225"/>
      <c r="B122" s="224">
        <v>11</v>
      </c>
      <c r="C122" s="181">
        <v>394.45652790333054</v>
      </c>
      <c r="D122" s="181">
        <v>489.46108847347188</v>
      </c>
      <c r="E122" s="181">
        <f t="shared" ref="E122:E125" si="27">C122-D122</f>
        <v>-95.004560570141336</v>
      </c>
      <c r="F122" s="109"/>
      <c r="G122" s="109">
        <v>11</v>
      </c>
      <c r="H122" s="181">
        <v>267.25780830016674</v>
      </c>
      <c r="I122" s="181">
        <v>266.54811275195635</v>
      </c>
      <c r="J122" s="181">
        <f>H122-I122</f>
        <v>0.70969554821039083</v>
      </c>
      <c r="L122" s="1">
        <v>11</v>
      </c>
      <c r="M122" s="181">
        <v>123.3789969210826</v>
      </c>
      <c r="N122" s="181">
        <v>81.93863004931022</v>
      </c>
      <c r="O122" s="181">
        <f t="shared" ref="O122:O125" si="28">M122-N122</f>
        <v>41.440366871772383</v>
      </c>
    </row>
    <row r="123" spans="1:15" x14ac:dyDescent="0.25">
      <c r="A123" s="225"/>
      <c r="B123" s="224">
        <v>14</v>
      </c>
      <c r="C123" s="181">
        <v>855.36490569792159</v>
      </c>
      <c r="D123" s="181">
        <v>1052.9457435858542</v>
      </c>
      <c r="E123" s="181">
        <f t="shared" si="27"/>
        <v>-197.5808378879326</v>
      </c>
      <c r="F123" s="109"/>
      <c r="G123" s="109">
        <v>14</v>
      </c>
      <c r="H123" s="181">
        <v>638.77788050616152</v>
      </c>
      <c r="I123" s="181">
        <v>653.91773704828233</v>
      </c>
      <c r="J123" s="181">
        <f>H123-I123</f>
        <v>-15.13985654212081</v>
      </c>
      <c r="L123" s="1">
        <v>14</v>
      </c>
      <c r="M123" s="181">
        <v>357.75276039766572</v>
      </c>
      <c r="N123" s="181">
        <v>285.64967401002895</v>
      </c>
      <c r="O123" s="181">
        <f t="shared" si="28"/>
        <v>72.103086387636779</v>
      </c>
    </row>
    <row r="124" spans="1:15" x14ac:dyDescent="0.25">
      <c r="A124" s="225"/>
      <c r="B124" s="224">
        <v>17</v>
      </c>
      <c r="C124" s="181">
        <v>1682.2947342944058</v>
      </c>
      <c r="D124" s="181">
        <v>2075.7179003546566</v>
      </c>
      <c r="E124" s="181">
        <f t="shared" si="27"/>
        <v>-393.42316606025088</v>
      </c>
      <c r="F124" s="109"/>
      <c r="G124" s="109">
        <v>17</v>
      </c>
      <c r="H124" s="181">
        <v>1318.9675772429009</v>
      </c>
      <c r="I124" s="181">
        <v>1377.1299954649994</v>
      </c>
      <c r="J124" s="181">
        <f>H124-I124</f>
        <v>-58.162418222098495</v>
      </c>
      <c r="L124" s="1">
        <v>17</v>
      </c>
      <c r="M124" s="181">
        <v>813.63269173695994</v>
      </c>
      <c r="N124" s="181">
        <v>698.84556827411802</v>
      </c>
      <c r="O124" s="181">
        <f t="shared" si="28"/>
        <v>114.78712346284192</v>
      </c>
    </row>
    <row r="125" spans="1:15" x14ac:dyDescent="0.25">
      <c r="A125" s="225"/>
      <c r="B125" s="224">
        <v>20</v>
      </c>
      <c r="C125" s="181">
        <v>3041.3032237336838</v>
      </c>
      <c r="D125" s="181">
        <v>4312.8133076261465</v>
      </c>
      <c r="E125" s="181">
        <f t="shared" si="27"/>
        <v>-1271.5100838924627</v>
      </c>
      <c r="F125" s="109"/>
      <c r="G125" s="109">
        <v>20</v>
      </c>
      <c r="H125" s="181">
        <v>2503.3717658499982</v>
      </c>
      <c r="I125" s="181">
        <v>3206.4586911322094</v>
      </c>
      <c r="J125" s="181">
        <f>H125-I125</f>
        <v>-703.08692528221127</v>
      </c>
      <c r="L125" s="1">
        <v>20</v>
      </c>
      <c r="M125" s="181">
        <v>1700.9077736738864</v>
      </c>
      <c r="N125" s="181">
        <v>2079.7202673145857</v>
      </c>
      <c r="O125" s="181">
        <f t="shared" si="28"/>
        <v>-378.81249364069936</v>
      </c>
    </row>
    <row r="126" spans="1:15" x14ac:dyDescent="0.25">
      <c r="A126" s="225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</row>
    <row r="127" spans="1:15" x14ac:dyDescent="0.25">
      <c r="A127" s="225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</row>
    <row r="128" spans="1:15" ht="75" x14ac:dyDescent="0.25">
      <c r="A128" s="109" t="s">
        <v>193</v>
      </c>
      <c r="B128" s="8" t="s">
        <v>2</v>
      </c>
      <c r="C128" s="8" t="str">
        <f>$E$5</f>
        <v>Nåverdi Beiteskade (Ved normal slutthogstalder)</v>
      </c>
      <c r="D128" s="8" t="str">
        <f>$F$5</f>
        <v>Slakteverdi i dag med skade</v>
      </c>
      <c r="E128" s="6" t="str">
        <f>$G$5</f>
        <v>Differanse</v>
      </c>
      <c r="F128" s="109"/>
      <c r="G128" s="8" t="s">
        <v>2</v>
      </c>
      <c r="H128" s="8" t="str">
        <f>$E$5</f>
        <v>Nåverdi Beiteskade (Ved normal slutthogstalder)</v>
      </c>
      <c r="I128" s="8" t="str">
        <f>$F$5</f>
        <v>Slakteverdi i dag med skade</v>
      </c>
      <c r="J128" s="6" t="str">
        <f>$G$5</f>
        <v>Differanse</v>
      </c>
      <c r="L128" s="8" t="s">
        <v>2</v>
      </c>
      <c r="M128" s="8" t="str">
        <f>$E$5</f>
        <v>Nåverdi Beiteskade (Ved normal slutthogstalder)</v>
      </c>
      <c r="N128" s="8" t="str">
        <f>$F$5</f>
        <v>Slakteverdi i dag med skade</v>
      </c>
      <c r="O128" s="6" t="str">
        <f>$G$5</f>
        <v>Differanse</v>
      </c>
    </row>
    <row r="129" spans="1:15" x14ac:dyDescent="0.25">
      <c r="A129" s="109"/>
      <c r="B129" s="109" t="s">
        <v>2</v>
      </c>
      <c r="C129" s="181">
        <f>$E$6</f>
        <v>1682.2947342944058</v>
      </c>
      <c r="D129" s="181">
        <f>$F$6</f>
        <v>2075.7179003546566</v>
      </c>
      <c r="E129" s="181"/>
      <c r="F129" s="109"/>
      <c r="G129" s="109" t="s">
        <v>2</v>
      </c>
      <c r="H129" s="181">
        <f>$E$7</f>
        <v>1318.9675772429009</v>
      </c>
      <c r="I129" s="181">
        <f>$F$7</f>
        <v>1377.1299954649994</v>
      </c>
      <c r="J129" s="181"/>
      <c r="L129" s="109" t="s">
        <v>2</v>
      </c>
      <c r="M129" s="181">
        <f>$E$8</f>
        <v>813.63269173695994</v>
      </c>
      <c r="N129" s="181">
        <f>$F$8</f>
        <v>698.84556827411802</v>
      </c>
      <c r="O129" s="181"/>
    </row>
    <row r="130" spans="1:15" x14ac:dyDescent="0.25">
      <c r="A130" s="256"/>
      <c r="B130" s="109">
        <v>20</v>
      </c>
      <c r="C130" s="181">
        <f t="dataTable" ref="C130:D142" dt2D="0" dtr="0" r1="B16" ca="1"/>
        <v>1026.6555936642926</v>
      </c>
      <c r="D130" s="181">
        <v>1832.0699003546567</v>
      </c>
      <c r="E130" s="181">
        <f>C130-D130</f>
        <v>-805.41430669036413</v>
      </c>
      <c r="F130" s="109"/>
      <c r="G130" s="109">
        <v>20</v>
      </c>
      <c r="H130" s="181">
        <f t="dataTable" ref="H130:I142" dt2D="0" dtr="0" r1="B16" ca="1"/>
        <v>730.28036807728631</v>
      </c>
      <c r="I130" s="181">
        <v>1133.4819954649995</v>
      </c>
      <c r="J130" s="181">
        <f t="shared" ref="J130:J142" si="29">H130-I130</f>
        <v>-403.20162738771319</v>
      </c>
      <c r="L130" s="109">
        <v>20</v>
      </c>
      <c r="M130" s="181">
        <f t="dataTable" ref="M130:N142" dt2D="0" dtr="0" r1="B16" ca="1"/>
        <v>371.33133951136847</v>
      </c>
      <c r="N130" s="181">
        <v>455.197568274118</v>
      </c>
      <c r="O130" s="181">
        <f>M130-N130</f>
        <v>-83.866228762749529</v>
      </c>
    </row>
    <row r="131" spans="1:15" x14ac:dyDescent="0.25">
      <c r="A131" s="256"/>
      <c r="B131" s="109">
        <f>B130+10</f>
        <v>30</v>
      </c>
      <c r="C131" s="181">
        <v>1314.2059576623965</v>
      </c>
      <c r="D131" s="181">
        <v>1832.0699003546567</v>
      </c>
      <c r="E131" s="181">
        <f t="shared" ref="E131:E134" si="30">C131-D131</f>
        <v>-517.86394269226025</v>
      </c>
      <c r="F131" s="109"/>
      <c r="G131" s="109">
        <f>G130+10</f>
        <v>30</v>
      </c>
      <c r="H131" s="181">
        <v>981.43574817251897</v>
      </c>
      <c r="I131" s="181">
        <v>1133.4819954649995</v>
      </c>
      <c r="J131" s="181">
        <f t="shared" si="29"/>
        <v>-152.04624729248053</v>
      </c>
      <c r="L131" s="109">
        <f>L130+10</f>
        <v>30</v>
      </c>
      <c r="M131" s="181">
        <v>549.66109312277649</v>
      </c>
      <c r="N131" s="181">
        <v>455.197568274118</v>
      </c>
      <c r="O131" s="181">
        <f t="shared" ref="O131:O142" si="31">M131-N131</f>
        <v>94.463524848658494</v>
      </c>
    </row>
    <row r="132" spans="1:15" x14ac:dyDescent="0.25">
      <c r="A132" s="256"/>
      <c r="B132" s="109">
        <f t="shared" ref="B132:B142" si="32">B131+10</f>
        <v>40</v>
      </c>
      <c r="C132" s="181">
        <v>1682.2947342944058</v>
      </c>
      <c r="D132" s="181">
        <v>2075.7179003546566</v>
      </c>
      <c r="E132" s="181">
        <f t="shared" si="30"/>
        <v>-393.42316606025088</v>
      </c>
      <c r="F132" s="109"/>
      <c r="G132" s="109">
        <f t="shared" ref="G132:G140" si="33">G131+10</f>
        <v>40</v>
      </c>
      <c r="H132" s="181">
        <v>1318.9675772429009</v>
      </c>
      <c r="I132" s="181">
        <v>1377.1299954649994</v>
      </c>
      <c r="J132" s="181">
        <f t="shared" si="29"/>
        <v>-58.162418222098495</v>
      </c>
      <c r="L132" s="109">
        <f t="shared" ref="L132:L140" si="34">L131+10</f>
        <v>40</v>
      </c>
      <c r="M132" s="181">
        <v>813.63269173695994</v>
      </c>
      <c r="N132" s="181">
        <v>698.84556827411802</v>
      </c>
      <c r="O132" s="181">
        <f t="shared" si="31"/>
        <v>114.78712346284192</v>
      </c>
    </row>
    <row r="133" spans="1:15" x14ac:dyDescent="0.25">
      <c r="A133" s="256"/>
      <c r="B133" s="109">
        <f t="shared" si="32"/>
        <v>50</v>
      </c>
      <c r="C133" s="181">
        <v>2153.4794881531866</v>
      </c>
      <c r="D133" s="181">
        <v>2848.9979003546568</v>
      </c>
      <c r="E133" s="181">
        <f t="shared" si="30"/>
        <v>-695.51841220147026</v>
      </c>
      <c r="F133" s="109"/>
      <c r="G133" s="109">
        <f t="shared" si="33"/>
        <v>50</v>
      </c>
      <c r="H133" s="181">
        <v>1772.5821308805675</v>
      </c>
      <c r="I133" s="181">
        <v>2150.4099954649996</v>
      </c>
      <c r="J133" s="181">
        <f t="shared" si="29"/>
        <v>-377.82786458443206</v>
      </c>
      <c r="L133" s="109">
        <f t="shared" si="34"/>
        <v>50</v>
      </c>
      <c r="M133" s="181">
        <v>1204.375141966364</v>
      </c>
      <c r="N133" s="181">
        <v>1472.125568274118</v>
      </c>
      <c r="O133" s="181">
        <f t="shared" si="31"/>
        <v>-267.75042630775397</v>
      </c>
    </row>
    <row r="134" spans="1:15" x14ac:dyDescent="0.25">
      <c r="A134" s="256"/>
      <c r="B134" s="109">
        <f t="shared" si="32"/>
        <v>60</v>
      </c>
      <c r="C134" s="181">
        <v>2756.6358090287767</v>
      </c>
      <c r="D134" s="181">
        <v>3699.6699003546569</v>
      </c>
      <c r="E134" s="181">
        <f t="shared" si="30"/>
        <v>-943.03409132588013</v>
      </c>
      <c r="F134" s="109"/>
      <c r="G134" s="109">
        <f t="shared" si="33"/>
        <v>60</v>
      </c>
      <c r="H134" s="181">
        <v>2382.2021594231005</v>
      </c>
      <c r="I134" s="181">
        <v>3001.0819954649996</v>
      </c>
      <c r="J134" s="181">
        <f t="shared" si="29"/>
        <v>-618.87983604189913</v>
      </c>
      <c r="L134" s="109">
        <f t="shared" si="34"/>
        <v>60</v>
      </c>
      <c r="M134" s="181">
        <v>1782.7694207934308</v>
      </c>
      <c r="N134" s="181">
        <v>2322.797568274118</v>
      </c>
      <c r="O134" s="181">
        <f t="shared" si="31"/>
        <v>-540.02814748068727</v>
      </c>
    </row>
    <row r="135" spans="1:15" x14ac:dyDescent="0.25">
      <c r="A135" s="256"/>
      <c r="B135" s="109">
        <f t="shared" si="32"/>
        <v>70</v>
      </c>
      <c r="C135" s="181">
        <v>3528.726893115957</v>
      </c>
      <c r="D135" s="181">
        <v>5512.837900354657</v>
      </c>
      <c r="E135" s="181">
        <f t="shared" ref="E135:E142" si="35">C135-D135</f>
        <v>-1984.1110072387</v>
      </c>
      <c r="F135" s="109"/>
      <c r="G135" s="109">
        <f t="shared" si="33"/>
        <v>70</v>
      </c>
      <c r="H135" s="181">
        <v>3201.4805009576412</v>
      </c>
      <c r="I135" s="181">
        <v>4814.2499954649993</v>
      </c>
      <c r="J135" s="181">
        <f t="shared" si="29"/>
        <v>-1612.7694945073581</v>
      </c>
      <c r="L135" s="109">
        <f t="shared" si="34"/>
        <v>70</v>
      </c>
      <c r="M135" s="181">
        <v>2638.934246456663</v>
      </c>
      <c r="N135" s="181">
        <v>4135.9655682741177</v>
      </c>
      <c r="O135" s="181">
        <f t="shared" si="31"/>
        <v>-1497.0313218174547</v>
      </c>
    </row>
    <row r="136" spans="1:15" x14ac:dyDescent="0.25">
      <c r="A136" s="256"/>
      <c r="B136" s="109">
        <f t="shared" si="32"/>
        <v>80</v>
      </c>
      <c r="C136" s="181">
        <v>4517.0687565677681</v>
      </c>
      <c r="D136" s="181">
        <v>7408.4099003546562</v>
      </c>
      <c r="E136" s="181">
        <f t="shared" si="35"/>
        <v>-2891.3411437868881</v>
      </c>
      <c r="F136" s="109"/>
      <c r="G136" s="109">
        <f t="shared" si="33"/>
        <v>80</v>
      </c>
      <c r="H136" s="181">
        <v>4302.5220833877975</v>
      </c>
      <c r="I136" s="181">
        <v>6709.8219954649985</v>
      </c>
      <c r="J136" s="181">
        <f t="shared" si="29"/>
        <v>-2407.299912077201</v>
      </c>
      <c r="L136" s="109">
        <f t="shared" si="34"/>
        <v>80</v>
      </c>
      <c r="M136" s="181">
        <v>3906.2673365927735</v>
      </c>
      <c r="N136" s="181">
        <v>6031.5375682741169</v>
      </c>
      <c r="O136" s="181">
        <f t="shared" si="31"/>
        <v>-2125.2702316813434</v>
      </c>
    </row>
    <row r="137" spans="1:15" x14ac:dyDescent="0.25">
      <c r="A137" s="256"/>
      <c r="B137" s="109">
        <f t="shared" si="32"/>
        <v>90</v>
      </c>
      <c r="C137" s="181">
        <v>5782.2299003546568</v>
      </c>
      <c r="D137" s="181">
        <v>9732.3899003546576</v>
      </c>
      <c r="E137" s="181">
        <f t="shared" si="35"/>
        <v>-3950.1600000000008</v>
      </c>
      <c r="F137" s="109"/>
      <c r="G137" s="109">
        <f t="shared" si="33"/>
        <v>90</v>
      </c>
      <c r="H137" s="181">
        <v>5782.2299003546568</v>
      </c>
      <c r="I137" s="181">
        <v>9033.8019954650008</v>
      </c>
      <c r="J137" s="181">
        <f t="shared" si="29"/>
        <v>-3251.572095110344</v>
      </c>
      <c r="L137" s="109">
        <f t="shared" si="34"/>
        <v>90</v>
      </c>
      <c r="M137" s="181">
        <v>5782.2299003546568</v>
      </c>
      <c r="N137" s="181">
        <v>8355.5175682741192</v>
      </c>
      <c r="O137" s="181">
        <f t="shared" si="31"/>
        <v>-2573.2876679194624</v>
      </c>
    </row>
    <row r="138" spans="1:15" x14ac:dyDescent="0.25">
      <c r="A138" s="256"/>
      <c r="B138" s="109">
        <f t="shared" si="32"/>
        <v>100</v>
      </c>
      <c r="C138" s="181">
        <v>7401.7431264340385</v>
      </c>
      <c r="D138" s="181">
        <v>10865.989900354656</v>
      </c>
      <c r="E138" s="181">
        <f t="shared" si="35"/>
        <v>-3464.2467739206177</v>
      </c>
      <c r="F138" s="109"/>
      <c r="G138" s="109">
        <f t="shared" si="33"/>
        <v>100</v>
      </c>
      <c r="H138" s="181">
        <v>7770.8334722199525</v>
      </c>
      <c r="I138" s="181">
        <v>10167.401995464999</v>
      </c>
      <c r="J138" s="181">
        <f t="shared" si="29"/>
        <v>-2396.5685232450469</v>
      </c>
      <c r="L138" s="109">
        <f t="shared" si="34"/>
        <v>100</v>
      </c>
      <c r="M138" s="181">
        <v>8559.1127640839495</v>
      </c>
      <c r="N138" s="181">
        <v>9489.1175682741177</v>
      </c>
      <c r="O138" s="181">
        <f t="shared" si="31"/>
        <v>-930.00480419016822</v>
      </c>
    </row>
    <row r="139" spans="1:15" x14ac:dyDescent="0.25">
      <c r="A139" s="256"/>
      <c r="B139" s="109">
        <f t="shared" si="32"/>
        <v>110</v>
      </c>
      <c r="C139" s="181">
        <v>9474.8569762598381</v>
      </c>
      <c r="D139" s="181">
        <v>10865.989900354656</v>
      </c>
      <c r="E139" s="181">
        <f t="shared" si="35"/>
        <v>-1391.132924094818</v>
      </c>
      <c r="F139" s="109"/>
      <c r="G139" s="109">
        <f t="shared" si="33"/>
        <v>110</v>
      </c>
      <c r="H139" s="181">
        <v>10443.350384471949</v>
      </c>
      <c r="I139" s="181">
        <v>10167.401995464999</v>
      </c>
      <c r="J139" s="181">
        <f t="shared" si="29"/>
        <v>275.94838900694958</v>
      </c>
      <c r="L139" s="109">
        <f t="shared" si="34"/>
        <v>110</v>
      </c>
      <c r="M139" s="181">
        <v>12669.577753006923</v>
      </c>
      <c r="N139" s="181">
        <v>9489.1175682741177</v>
      </c>
      <c r="O139" s="181">
        <f t="shared" si="31"/>
        <v>3180.4601847328049</v>
      </c>
    </row>
    <row r="140" spans="1:15" x14ac:dyDescent="0.25">
      <c r="A140" s="109"/>
      <c r="B140" s="109">
        <f t="shared" si="32"/>
        <v>120</v>
      </c>
      <c r="C140" s="181">
        <v>12128.617973781245</v>
      </c>
      <c r="D140" s="181">
        <v>10865.989900354656</v>
      </c>
      <c r="E140" s="181">
        <f t="shared" si="35"/>
        <v>1262.6280734265893</v>
      </c>
      <c r="F140" s="109"/>
      <c r="G140" s="109">
        <f t="shared" si="33"/>
        <v>120</v>
      </c>
      <c r="H140" s="181">
        <v>14034.989636921582</v>
      </c>
      <c r="I140" s="181">
        <v>10167.401995464999</v>
      </c>
      <c r="J140" s="181">
        <f t="shared" si="29"/>
        <v>3867.5876414565828</v>
      </c>
      <c r="L140" s="109">
        <f t="shared" si="34"/>
        <v>120</v>
      </c>
      <c r="M140" s="181">
        <v>18754.070061217099</v>
      </c>
      <c r="N140" s="181">
        <v>9489.1175682741177</v>
      </c>
      <c r="O140" s="181">
        <f t="shared" si="31"/>
        <v>9264.9524929429808</v>
      </c>
    </row>
    <row r="141" spans="1:15" x14ac:dyDescent="0.25">
      <c r="A141" s="109"/>
      <c r="B141" s="109">
        <f>B140+10</f>
        <v>130</v>
      </c>
      <c r="C141" s="181">
        <v>15525.656410699514</v>
      </c>
      <c r="D141" s="181">
        <v>10865.989900354656</v>
      </c>
      <c r="E141" s="181">
        <f t="shared" si="35"/>
        <v>4659.6665103448577</v>
      </c>
      <c r="F141" s="109"/>
      <c r="G141" s="109">
        <f>G140+10</f>
        <v>130</v>
      </c>
      <c r="H141" s="181">
        <v>18861.852456983921</v>
      </c>
      <c r="I141" s="181">
        <v>10167.401995464999</v>
      </c>
      <c r="J141" s="181">
        <f t="shared" si="29"/>
        <v>8694.4504615189217</v>
      </c>
      <c r="L141" s="109">
        <f>L140+10</f>
        <v>130</v>
      </c>
      <c r="M141" s="181">
        <v>27760.605027074846</v>
      </c>
      <c r="N141" s="181">
        <v>9489.1175682741177</v>
      </c>
      <c r="O141" s="181">
        <f t="shared" si="31"/>
        <v>18271.48745880073</v>
      </c>
    </row>
    <row r="142" spans="1:15" x14ac:dyDescent="0.25">
      <c r="A142" s="109"/>
      <c r="B142" s="109">
        <f t="shared" si="32"/>
        <v>140</v>
      </c>
      <c r="C142" s="181">
        <v>19874.152809839539</v>
      </c>
      <c r="D142" s="181">
        <v>10865.989900354656</v>
      </c>
      <c r="E142" s="181">
        <f t="shared" si="35"/>
        <v>9008.1629094848831</v>
      </c>
      <c r="F142" s="109"/>
      <c r="G142" s="109">
        <f t="shared" ref="G142" si="36">G141+10</f>
        <v>140</v>
      </c>
      <c r="H142" s="181">
        <v>25348.752461712858</v>
      </c>
      <c r="I142" s="181">
        <v>10167.401995464999</v>
      </c>
      <c r="J142" s="181">
        <f t="shared" si="29"/>
        <v>15181.350466247859</v>
      </c>
      <c r="L142" s="109">
        <f t="shared" ref="L142" si="37">L141+10</f>
        <v>140</v>
      </c>
      <c r="M142" s="181">
        <v>41092.476937202999</v>
      </c>
      <c r="N142" s="181">
        <v>9489.1175682741177</v>
      </c>
      <c r="O142" s="181">
        <f t="shared" si="31"/>
        <v>31603.359368928883</v>
      </c>
    </row>
    <row r="143" spans="1:15" x14ac:dyDescent="0.25">
      <c r="A143" s="109"/>
      <c r="B143" s="109"/>
      <c r="C143" s="109"/>
      <c r="D143" s="109"/>
      <c r="E143" s="109"/>
      <c r="F143" s="109"/>
      <c r="G143" s="109"/>
      <c r="H143" s="109"/>
    </row>
    <row r="144" spans="1:15" x14ac:dyDescent="0.25">
      <c r="A144" s="109"/>
      <c r="B144" s="109"/>
      <c r="C144" s="109"/>
      <c r="D144" s="109"/>
      <c r="E144" s="109"/>
      <c r="F144" s="109"/>
      <c r="G144" s="109"/>
      <c r="H144" s="109"/>
    </row>
    <row r="145" spans="1:15" ht="75" x14ac:dyDescent="0.25">
      <c r="A145" s="109" t="s">
        <v>194</v>
      </c>
      <c r="B145" s="8" t="s">
        <v>198</v>
      </c>
      <c r="C145" s="8" t="str">
        <f>$E$5</f>
        <v>Nåverdi Beiteskade (Ved normal slutthogstalder)</v>
      </c>
      <c r="D145" s="8" t="str">
        <f>$F$5</f>
        <v>Slakteverdi i dag med skade</v>
      </c>
      <c r="E145" s="6" t="str">
        <f>$G$5</f>
        <v>Differanse</v>
      </c>
      <c r="F145" s="109"/>
      <c r="G145" s="8" t="s">
        <v>2</v>
      </c>
      <c r="H145" s="8" t="str">
        <f>$E$5</f>
        <v>Nåverdi Beiteskade (Ved normal slutthogstalder)</v>
      </c>
      <c r="I145" s="8" t="str">
        <f>$F$5</f>
        <v>Slakteverdi i dag med skade</v>
      </c>
      <c r="J145" s="6" t="str">
        <f>$G$5</f>
        <v>Differanse</v>
      </c>
      <c r="L145" s="8" t="s">
        <v>2</v>
      </c>
      <c r="M145" s="8" t="str">
        <f>$E$5</f>
        <v>Nåverdi Beiteskade (Ved normal slutthogstalder)</v>
      </c>
      <c r="N145" s="8" t="str">
        <f>$F$5</f>
        <v>Slakteverdi i dag med skade</v>
      </c>
      <c r="O145" s="6" t="str">
        <f>$G$5</f>
        <v>Differanse</v>
      </c>
    </row>
    <row r="146" spans="1:15" x14ac:dyDescent="0.25">
      <c r="B146" s="192" t="s">
        <v>198</v>
      </c>
      <c r="C146" s="181">
        <f>$E$6</f>
        <v>1682.2947342944058</v>
      </c>
      <c r="D146" s="181">
        <f>$F$6</f>
        <v>2075.7179003546566</v>
      </c>
      <c r="E146" s="181"/>
      <c r="F146" s="109"/>
      <c r="G146" s="192" t="str">
        <f>B146</f>
        <v>Volum</v>
      </c>
      <c r="H146" s="181">
        <f>$E$7</f>
        <v>1318.9675772429009</v>
      </c>
      <c r="I146" s="181">
        <f>$F$7</f>
        <v>1377.1299954649994</v>
      </c>
      <c r="J146" s="181"/>
      <c r="L146" s="192" t="str">
        <f>G146</f>
        <v>Volum</v>
      </c>
      <c r="M146" s="181">
        <f>$E$8</f>
        <v>813.63269173695994</v>
      </c>
      <c r="N146" s="181">
        <f>$F$8</f>
        <v>698.84556827411802</v>
      </c>
      <c r="O146" s="181"/>
    </row>
    <row r="147" spans="1:15" x14ac:dyDescent="0.25">
      <c r="A147" s="256" t="s">
        <v>162</v>
      </c>
      <c r="B147" s="192">
        <v>0</v>
      </c>
      <c r="C147" s="181">
        <f t="dataTable" ref="C147:D156" dt2D="0" dtr="0" r1="B19" ca="1"/>
        <v>2831.5630065941277</v>
      </c>
      <c r="D147" s="181">
        <v>2075.7179003546566</v>
      </c>
      <c r="E147" s="181">
        <f>C147-D147</f>
        <v>755.84510623947108</v>
      </c>
      <c r="F147" s="109">
        <f t="shared" ref="F147:F156" si="38">Vol_daa*(1-B147)</f>
        <v>36.24</v>
      </c>
      <c r="G147" s="192">
        <f>B147</f>
        <v>0</v>
      </c>
      <c r="H147" s="181">
        <v>1683.4875630488582</v>
      </c>
      <c r="I147" s="181">
        <v>1934.7590236421834</v>
      </c>
      <c r="J147" s="181">
        <f t="shared" ref="J147:J156" si="39">H147-I147</f>
        <v>-251.27146059332517</v>
      </c>
      <c r="L147" s="192">
        <f>G147</f>
        <v>0</v>
      </c>
      <c r="M147" s="181">
        <v>942.85093638282137</v>
      </c>
      <c r="N147" s="181">
        <v>845.93968139534479</v>
      </c>
      <c r="O147" s="181">
        <f>M147-N147</f>
        <v>96.911254987476582</v>
      </c>
    </row>
    <row r="148" spans="1:15" x14ac:dyDescent="0.25">
      <c r="A148" s="256"/>
      <c r="B148" s="192">
        <f>+B147+10%</f>
        <v>0.1</v>
      </c>
      <c r="C148" s="181">
        <v>2601.7093521341831</v>
      </c>
      <c r="D148" s="181">
        <v>2075.7179003546566</v>
      </c>
      <c r="E148" s="181">
        <f t="shared" ref="E148:E156" si="40">C148-D148</f>
        <v>525.99145177952641</v>
      </c>
      <c r="F148" s="109">
        <f t="shared" si="38"/>
        <v>32.616</v>
      </c>
      <c r="G148" s="192">
        <f t="shared" ref="G148:G156" si="41">B148</f>
        <v>0.1</v>
      </c>
      <c r="H148" s="181">
        <v>2262.4665104034802</v>
      </c>
      <c r="I148" s="181">
        <v>2042.8790236421833</v>
      </c>
      <c r="J148" s="181">
        <f t="shared" si="39"/>
        <v>219.58748676129699</v>
      </c>
      <c r="L148" s="192">
        <f t="shared" ref="L148:L156" si="42">G148</f>
        <v>0.1</v>
      </c>
      <c r="M148" s="181">
        <v>1395.6497101105815</v>
      </c>
      <c r="N148" s="181">
        <v>954.0596813953448</v>
      </c>
      <c r="O148" s="181">
        <f t="shared" ref="O148:O156" si="43">M148-N148</f>
        <v>441.59002871523671</v>
      </c>
    </row>
    <row r="149" spans="1:15" x14ac:dyDescent="0.25">
      <c r="A149" s="256"/>
      <c r="B149" s="192">
        <f t="shared" ref="B149:B155" si="44">+B148+10%</f>
        <v>0.2</v>
      </c>
      <c r="C149" s="181">
        <v>2371.8556976742393</v>
      </c>
      <c r="D149" s="181">
        <v>2075.7179003546566</v>
      </c>
      <c r="E149" s="181">
        <f t="shared" si="40"/>
        <v>296.13779731958266</v>
      </c>
      <c r="F149" s="109">
        <f t="shared" si="38"/>
        <v>28.992000000000004</v>
      </c>
      <c r="G149" s="192">
        <f t="shared" si="41"/>
        <v>0.2</v>
      </c>
      <c r="H149" s="181">
        <v>3040.565801048775</v>
      </c>
      <c r="I149" s="181">
        <v>2527.5590236421835</v>
      </c>
      <c r="J149" s="181">
        <f t="shared" si="39"/>
        <v>513.00677740659148</v>
      </c>
      <c r="L149" s="192">
        <f t="shared" si="42"/>
        <v>0.2</v>
      </c>
      <c r="M149" s="181">
        <v>2065.9025071391325</v>
      </c>
      <c r="N149" s="181">
        <v>1438.7396813953449</v>
      </c>
      <c r="O149" s="181">
        <f t="shared" si="43"/>
        <v>627.16282574378761</v>
      </c>
    </row>
    <row r="150" spans="1:15" x14ac:dyDescent="0.25">
      <c r="A150" s="256"/>
      <c r="B150" s="192">
        <f t="shared" si="44"/>
        <v>0.30000000000000004</v>
      </c>
      <c r="C150" s="181">
        <v>2142.0020432142946</v>
      </c>
      <c r="D150" s="181">
        <v>2075.7179003546566</v>
      </c>
      <c r="E150" s="181">
        <f t="shared" si="40"/>
        <v>66.284142859637996</v>
      </c>
      <c r="F150" s="109">
        <f t="shared" si="38"/>
        <v>25.367999999999999</v>
      </c>
      <c r="G150" s="192">
        <f t="shared" si="41"/>
        <v>0.30000000000000004</v>
      </c>
      <c r="H150" s="181">
        <v>4086.2661825030286</v>
      </c>
      <c r="I150" s="181">
        <v>3320.7590236421834</v>
      </c>
      <c r="J150" s="181">
        <f t="shared" si="39"/>
        <v>765.50715886084527</v>
      </c>
      <c r="L150" s="192">
        <f t="shared" si="42"/>
        <v>0.30000000000000004</v>
      </c>
      <c r="M150" s="181">
        <v>3058.040379391181</v>
      </c>
      <c r="N150" s="181">
        <v>2231.9396813953449</v>
      </c>
      <c r="O150" s="181">
        <f t="shared" si="43"/>
        <v>826.10069799583607</v>
      </c>
    </row>
    <row r="151" spans="1:15" x14ac:dyDescent="0.25">
      <c r="A151" s="256"/>
      <c r="B151" s="192">
        <f t="shared" si="44"/>
        <v>0.4</v>
      </c>
      <c r="C151" s="181">
        <v>1912.1483887543502</v>
      </c>
      <c r="D151" s="181">
        <v>2075.7179003546566</v>
      </c>
      <c r="E151" s="181">
        <f t="shared" si="40"/>
        <v>-163.56951160030644</v>
      </c>
      <c r="F151" s="109">
        <f t="shared" si="38"/>
        <v>21.744</v>
      </c>
      <c r="G151" s="192">
        <f t="shared" si="41"/>
        <v>0.4</v>
      </c>
      <c r="H151" s="181">
        <v>5491.6000530257961</v>
      </c>
      <c r="I151" s="181">
        <v>4460.3590236421842</v>
      </c>
      <c r="J151" s="181">
        <f t="shared" si="39"/>
        <v>1031.2410293836119</v>
      </c>
      <c r="L151" s="192">
        <f t="shared" si="42"/>
        <v>0.4</v>
      </c>
      <c r="M151" s="181">
        <v>4526.6467946433213</v>
      </c>
      <c r="N151" s="181">
        <v>3371.5396813953453</v>
      </c>
      <c r="O151" s="181">
        <f t="shared" si="43"/>
        <v>1155.107113247976</v>
      </c>
    </row>
    <row r="152" spans="1:15" x14ac:dyDescent="0.25">
      <c r="A152" s="256"/>
      <c r="B152" s="192">
        <f t="shared" si="44"/>
        <v>0.5</v>
      </c>
      <c r="C152" s="181">
        <v>1682.2947342944058</v>
      </c>
      <c r="D152" s="181">
        <v>2075.7179003546566</v>
      </c>
      <c r="E152" s="181">
        <f t="shared" si="40"/>
        <v>-393.42316606025088</v>
      </c>
      <c r="F152" s="109">
        <f t="shared" si="38"/>
        <v>18.12</v>
      </c>
      <c r="G152" s="192">
        <f t="shared" si="41"/>
        <v>0.5</v>
      </c>
      <c r="H152" s="181">
        <v>7380.2512600684149</v>
      </c>
      <c r="I152" s="181">
        <v>5688.3590236421842</v>
      </c>
      <c r="J152" s="181">
        <f t="shared" si="39"/>
        <v>1691.8922364262307</v>
      </c>
      <c r="L152" s="192">
        <f t="shared" si="42"/>
        <v>0.5</v>
      </c>
      <c r="M152" s="181">
        <v>6700.5430476147194</v>
      </c>
      <c r="N152" s="181">
        <v>4599.5396813953448</v>
      </c>
      <c r="O152" s="181">
        <f t="shared" si="43"/>
        <v>2101.0033662193746</v>
      </c>
    </row>
    <row r="153" spans="1:15" x14ac:dyDescent="0.25">
      <c r="A153" s="256"/>
      <c r="B153" s="192">
        <f t="shared" si="44"/>
        <v>0.6</v>
      </c>
      <c r="C153" s="181">
        <v>1452.4410798344616</v>
      </c>
      <c r="D153" s="181">
        <v>2075.7179003546566</v>
      </c>
      <c r="E153" s="181">
        <f t="shared" si="40"/>
        <v>-623.27682052019509</v>
      </c>
      <c r="F153" s="109">
        <f t="shared" si="38"/>
        <v>14.496000000000002</v>
      </c>
      <c r="G153" s="192">
        <f t="shared" si="41"/>
        <v>0.6</v>
      </c>
      <c r="H153" s="181">
        <v>9918.440552081036</v>
      </c>
      <c r="I153" s="181">
        <v>7502.7590236421838</v>
      </c>
      <c r="J153" s="181">
        <f t="shared" si="39"/>
        <v>2415.6815284388522</v>
      </c>
      <c r="L153" s="192">
        <f t="shared" si="42"/>
        <v>0.6</v>
      </c>
      <c r="M153" s="181">
        <v>9918.440552081036</v>
      </c>
      <c r="N153" s="181">
        <v>6413.9396813953454</v>
      </c>
      <c r="O153" s="181">
        <f t="shared" si="43"/>
        <v>3504.5008706856906</v>
      </c>
    </row>
    <row r="154" spans="1:15" x14ac:dyDescent="0.25">
      <c r="A154" s="256"/>
      <c r="B154" s="192">
        <f t="shared" si="44"/>
        <v>0.7</v>
      </c>
      <c r="C154" s="181">
        <v>1222.5874253745171</v>
      </c>
      <c r="D154" s="181">
        <v>2075.7179003546566</v>
      </c>
      <c r="E154" s="181">
        <f t="shared" si="40"/>
        <v>-853.13047498013952</v>
      </c>
      <c r="F154" s="109">
        <f t="shared" si="38"/>
        <v>10.872000000000002</v>
      </c>
      <c r="G154" s="192">
        <f t="shared" si="41"/>
        <v>0.7</v>
      </c>
      <c r="H154" s="181">
        <v>13329.554715492659</v>
      </c>
      <c r="I154" s="181">
        <v>8462.7590236421838</v>
      </c>
      <c r="J154" s="181">
        <f t="shared" si="39"/>
        <v>4866.7956918504751</v>
      </c>
      <c r="L154" s="192">
        <f t="shared" si="42"/>
        <v>0.7</v>
      </c>
      <c r="M154" s="181">
        <v>14681.714942520302</v>
      </c>
      <c r="N154" s="181">
        <v>7373.9396813953454</v>
      </c>
      <c r="O154" s="181">
        <f t="shared" si="43"/>
        <v>7307.7752611249571</v>
      </c>
    </row>
    <row r="155" spans="1:15" x14ac:dyDescent="0.25">
      <c r="A155" s="256"/>
      <c r="B155" s="192">
        <f t="shared" si="44"/>
        <v>0.79999999999999993</v>
      </c>
      <c r="C155" s="181">
        <v>992.73377091457269</v>
      </c>
      <c r="D155" s="181">
        <v>2075.7179003546566</v>
      </c>
      <c r="E155" s="181">
        <f t="shared" si="40"/>
        <v>-1082.984129440084</v>
      </c>
      <c r="F155" s="109">
        <f t="shared" si="38"/>
        <v>7.2480000000000029</v>
      </c>
      <c r="G155" s="192">
        <f t="shared" si="41"/>
        <v>0.79999999999999993</v>
      </c>
      <c r="H155" s="181">
        <v>17913.806911514257</v>
      </c>
      <c r="I155" s="181">
        <v>8462.7590236421838</v>
      </c>
      <c r="J155" s="181">
        <f t="shared" si="39"/>
        <v>9451.0478878720733</v>
      </c>
      <c r="L155" s="192">
        <f t="shared" si="42"/>
        <v>0.79999999999999993</v>
      </c>
      <c r="M155" s="181">
        <v>21732.52463646594</v>
      </c>
      <c r="N155" s="181">
        <v>7373.9396813953454</v>
      </c>
      <c r="O155" s="181">
        <f t="shared" si="43"/>
        <v>14358.584955070593</v>
      </c>
    </row>
    <row r="156" spans="1:15" x14ac:dyDescent="0.25">
      <c r="A156" s="256"/>
      <c r="B156" s="192">
        <f>+B155+10%</f>
        <v>0.89999999999999991</v>
      </c>
      <c r="C156" s="181">
        <v>762.88011645462848</v>
      </c>
      <c r="D156" s="181">
        <v>2075.7179003546566</v>
      </c>
      <c r="E156" s="181">
        <f t="shared" si="40"/>
        <v>-1312.8377839000282</v>
      </c>
      <c r="F156" s="109">
        <f t="shared" si="38"/>
        <v>3.6240000000000032</v>
      </c>
      <c r="G156" s="192">
        <f t="shared" si="41"/>
        <v>0.89999999999999991</v>
      </c>
      <c r="H156" s="181">
        <v>24074.658524791943</v>
      </c>
      <c r="I156" s="181">
        <v>8462.7590236421838</v>
      </c>
      <c r="J156" s="181">
        <f t="shared" si="39"/>
        <v>15611.899501149759</v>
      </c>
      <c r="L156" s="192">
        <f t="shared" si="42"/>
        <v>0.89999999999999991</v>
      </c>
      <c r="M156" s="181">
        <v>32169.445389975834</v>
      </c>
      <c r="N156" s="181">
        <v>7373.9396813953454</v>
      </c>
      <c r="O156" s="181">
        <f t="shared" si="43"/>
        <v>24795.505708580487</v>
      </c>
    </row>
    <row r="157" spans="1:15" x14ac:dyDescent="0.25">
      <c r="A157" s="109"/>
      <c r="B157" s="192"/>
      <c r="C157" s="109"/>
      <c r="D157" s="109"/>
      <c r="E157" s="109"/>
      <c r="F157" s="109"/>
      <c r="G157" s="109"/>
      <c r="H157" s="109"/>
    </row>
    <row r="158" spans="1:15" x14ac:dyDescent="0.25">
      <c r="A158" s="109"/>
      <c r="B158" s="109"/>
      <c r="C158" s="109"/>
      <c r="D158" s="109"/>
      <c r="E158" s="109"/>
      <c r="F158" s="109"/>
      <c r="G158" s="109"/>
      <c r="H158" s="109"/>
    </row>
    <row r="159" spans="1:15" x14ac:dyDescent="0.25">
      <c r="A159" s="109"/>
      <c r="B159" s="109"/>
      <c r="C159" s="109"/>
      <c r="D159" s="109"/>
      <c r="E159" s="109"/>
      <c r="F159" s="109"/>
      <c r="G159" s="109"/>
      <c r="H159" s="109"/>
    </row>
    <row r="160" spans="1:15" x14ac:dyDescent="0.25">
      <c r="A160" s="109"/>
      <c r="B160" s="109"/>
      <c r="C160" s="109"/>
      <c r="D160" s="109"/>
      <c r="E160" s="109"/>
      <c r="F160" s="109"/>
      <c r="G160" s="109"/>
      <c r="H160" s="109"/>
    </row>
    <row r="161" spans="1:8" x14ac:dyDescent="0.25">
      <c r="A161" s="109"/>
      <c r="B161" s="109"/>
      <c r="C161" s="109"/>
      <c r="D161" s="109"/>
      <c r="E161" s="109"/>
      <c r="F161" s="109"/>
      <c r="G161" s="109"/>
      <c r="H161" s="109"/>
    </row>
    <row r="162" spans="1:8" x14ac:dyDescent="0.25">
      <c r="A162" s="109"/>
      <c r="B162" s="109"/>
      <c r="C162" s="109"/>
      <c r="D162" s="109"/>
      <c r="E162" s="109"/>
      <c r="F162" s="109"/>
      <c r="G162" s="109"/>
      <c r="H162" s="109"/>
    </row>
    <row r="163" spans="1:8" x14ac:dyDescent="0.25">
      <c r="A163" s="109"/>
      <c r="B163" s="109"/>
      <c r="C163" s="109"/>
      <c r="D163" s="109"/>
      <c r="E163" s="109"/>
      <c r="F163" s="109"/>
      <c r="G163" s="109"/>
      <c r="H163" s="109"/>
    </row>
    <row r="164" spans="1:8" x14ac:dyDescent="0.25">
      <c r="A164" s="109"/>
      <c r="B164" s="109"/>
      <c r="C164" s="109"/>
      <c r="D164" s="109"/>
      <c r="E164" s="109"/>
      <c r="F164" s="109"/>
      <c r="G164" s="109"/>
      <c r="H164" s="109"/>
    </row>
    <row r="165" spans="1:8" x14ac:dyDescent="0.25">
      <c r="A165" s="109"/>
      <c r="B165" s="109"/>
      <c r="C165" s="109"/>
      <c r="D165" s="109"/>
      <c r="E165" s="109"/>
      <c r="F165" s="109"/>
      <c r="G165" s="109"/>
      <c r="H165" s="109"/>
    </row>
    <row r="166" spans="1:8" x14ac:dyDescent="0.25">
      <c r="A166" s="109"/>
      <c r="B166" s="109"/>
      <c r="C166" s="109"/>
      <c r="D166" s="109"/>
      <c r="E166" s="109"/>
      <c r="F166" s="109"/>
      <c r="G166" s="109"/>
      <c r="H166" s="109"/>
    </row>
    <row r="167" spans="1:8" x14ac:dyDescent="0.25">
      <c r="A167" s="109"/>
      <c r="B167" s="109"/>
      <c r="C167" s="109"/>
      <c r="D167" s="109"/>
      <c r="E167" s="109"/>
      <c r="F167" s="109"/>
      <c r="G167" s="109"/>
      <c r="H167" s="109"/>
    </row>
    <row r="168" spans="1:8" x14ac:dyDescent="0.25">
      <c r="A168" s="109"/>
      <c r="B168" s="109"/>
      <c r="C168" s="109"/>
      <c r="D168" s="109"/>
      <c r="E168" s="109"/>
      <c r="F168" s="109"/>
      <c r="G168" s="109"/>
      <c r="H168" s="109"/>
    </row>
    <row r="169" spans="1:8" x14ac:dyDescent="0.25">
      <c r="A169" s="109"/>
      <c r="B169" s="109"/>
      <c r="C169" s="109"/>
      <c r="D169" s="109"/>
      <c r="E169" s="109"/>
      <c r="F169" s="109"/>
      <c r="G169" s="109"/>
      <c r="H169" s="109"/>
    </row>
    <row r="170" spans="1:8" x14ac:dyDescent="0.25">
      <c r="A170" s="109"/>
      <c r="B170" s="109"/>
      <c r="C170" s="109"/>
      <c r="D170" s="109"/>
      <c r="E170" s="109"/>
      <c r="F170" s="109"/>
      <c r="G170" s="109"/>
      <c r="H170" s="109"/>
    </row>
    <row r="171" spans="1:8" x14ac:dyDescent="0.25">
      <c r="A171" s="109"/>
      <c r="B171" s="109"/>
      <c r="C171" s="109"/>
      <c r="D171" s="109"/>
      <c r="E171" s="109"/>
      <c r="F171" s="109"/>
      <c r="G171" s="109"/>
      <c r="H171" s="109"/>
    </row>
    <row r="172" spans="1:8" x14ac:dyDescent="0.25">
      <c r="A172" s="109"/>
      <c r="B172" s="109"/>
      <c r="C172" s="109"/>
      <c r="D172" s="109"/>
      <c r="E172" s="109"/>
      <c r="F172" s="109"/>
      <c r="G172" s="109"/>
      <c r="H172" s="109"/>
    </row>
    <row r="173" spans="1:8" x14ac:dyDescent="0.25">
      <c r="A173" s="109"/>
      <c r="B173" s="109"/>
      <c r="C173" s="109"/>
      <c r="D173" s="109"/>
      <c r="E173" s="109"/>
      <c r="F173" s="109"/>
      <c r="G173" s="109"/>
      <c r="H173" s="109"/>
    </row>
    <row r="174" spans="1:8" x14ac:dyDescent="0.25">
      <c r="A174" s="109"/>
      <c r="B174" s="109"/>
      <c r="C174" s="109"/>
      <c r="D174" s="109"/>
      <c r="E174" s="109"/>
      <c r="F174" s="109"/>
      <c r="G174" s="109"/>
      <c r="H174" s="109"/>
    </row>
    <row r="175" spans="1:8" x14ac:dyDescent="0.25">
      <c r="A175" s="109"/>
      <c r="B175" s="109"/>
      <c r="C175" s="109"/>
      <c r="D175" s="109"/>
      <c r="E175" s="109"/>
      <c r="F175" s="109"/>
      <c r="G175" s="109"/>
      <c r="H175" s="109"/>
    </row>
    <row r="176" spans="1:8" x14ac:dyDescent="0.25">
      <c r="A176" s="109"/>
      <c r="B176" s="109"/>
      <c r="C176" s="109"/>
      <c r="D176" s="109"/>
      <c r="E176" s="109"/>
      <c r="F176" s="109"/>
      <c r="G176" s="109"/>
      <c r="H176" s="109"/>
    </row>
    <row r="177" spans="1:8" x14ac:dyDescent="0.25">
      <c r="A177" s="109"/>
      <c r="B177" s="109"/>
      <c r="C177" s="109"/>
      <c r="D177" s="109"/>
      <c r="E177" s="109"/>
      <c r="F177" s="109"/>
      <c r="G177" s="109"/>
      <c r="H177" s="109"/>
    </row>
    <row r="178" spans="1:8" x14ac:dyDescent="0.25">
      <c r="A178" s="109"/>
      <c r="B178" s="109"/>
      <c r="C178" s="109"/>
      <c r="D178" s="109"/>
      <c r="E178" s="109"/>
      <c r="F178" s="109"/>
      <c r="G178" s="109"/>
      <c r="H178" s="109"/>
    </row>
    <row r="179" spans="1:8" x14ac:dyDescent="0.25">
      <c r="A179" s="109"/>
      <c r="B179" s="109"/>
      <c r="C179" s="109"/>
      <c r="D179" s="109"/>
      <c r="E179" s="109"/>
      <c r="F179" s="109"/>
      <c r="G179" s="109"/>
      <c r="H179" s="109"/>
    </row>
    <row r="180" spans="1:8" x14ac:dyDescent="0.25">
      <c r="A180" s="109"/>
      <c r="B180" s="109"/>
      <c r="C180" s="109"/>
      <c r="D180" s="109"/>
      <c r="E180" s="109"/>
      <c r="F180" s="109"/>
      <c r="G180" s="109"/>
      <c r="H180" s="109"/>
    </row>
  </sheetData>
  <sheetProtection selectLockedCells="1"/>
  <mergeCells count="3">
    <mergeCell ref="E4:F4"/>
    <mergeCell ref="A147:A156"/>
    <mergeCell ref="A130:A139"/>
  </mergeCells>
  <conditionalFormatting sqref="C6:F8">
    <cfRule type="cellIs" dxfId="77" priority="87" operator="lessThan">
      <formula>0</formula>
    </cfRule>
  </conditionalFormatting>
  <conditionalFormatting sqref="C69:E80">
    <cfRule type="cellIs" dxfId="76" priority="86" operator="lessThan">
      <formula>0</formula>
    </cfRule>
  </conditionalFormatting>
  <conditionalFormatting sqref="H69:J80">
    <cfRule type="cellIs" dxfId="75" priority="85" operator="lessThan">
      <formula>0</formula>
    </cfRule>
  </conditionalFormatting>
  <conditionalFormatting sqref="M69:O80">
    <cfRule type="cellIs" dxfId="74" priority="84" operator="lessThan">
      <formula>0</formula>
    </cfRule>
  </conditionalFormatting>
  <conditionalFormatting sqref="C47">
    <cfRule type="cellIs" dxfId="73" priority="83" operator="lessThan">
      <formula>0</formula>
    </cfRule>
  </conditionalFormatting>
  <conditionalFormatting sqref="E47">
    <cfRule type="cellIs" dxfId="72" priority="82" operator="lessThan">
      <formula>0</formula>
    </cfRule>
  </conditionalFormatting>
  <conditionalFormatting sqref="F52">
    <cfRule type="cellIs" dxfId="71" priority="81" operator="lessThan">
      <formula>0</formula>
    </cfRule>
  </conditionalFormatting>
  <conditionalFormatting sqref="D52">
    <cfRule type="cellIs" dxfId="70" priority="80" operator="lessThan">
      <formula>0</formula>
    </cfRule>
  </conditionalFormatting>
  <conditionalFormatting sqref="B28 B54:B64">
    <cfRule type="cellIs" dxfId="69" priority="79" operator="lessThan">
      <formula>0</formula>
    </cfRule>
  </conditionalFormatting>
  <conditionalFormatting sqref="C87:D97 E86">
    <cfRule type="cellIs" dxfId="68" priority="78" operator="lessThan">
      <formula>0</formula>
    </cfRule>
  </conditionalFormatting>
  <conditionalFormatting sqref="C86:D86">
    <cfRule type="cellIs" dxfId="67" priority="77" operator="lessThan">
      <formula>0</formula>
    </cfRule>
  </conditionalFormatting>
  <conditionalFormatting sqref="E87:E97">
    <cfRule type="cellIs" dxfId="66" priority="76" operator="lessThan">
      <formula>0</formula>
    </cfRule>
  </conditionalFormatting>
  <conditionalFormatting sqref="H87:J97 J86">
    <cfRule type="cellIs" dxfId="65" priority="75" operator="lessThan">
      <formula>0</formula>
    </cfRule>
  </conditionalFormatting>
  <conditionalFormatting sqref="M87:O97 O86">
    <cfRule type="cellIs" dxfId="64" priority="74" operator="lessThan">
      <formula>0</formula>
    </cfRule>
  </conditionalFormatting>
  <conditionalFormatting sqref="H86:I86">
    <cfRule type="cellIs" dxfId="63" priority="73" operator="lessThan">
      <formula>0</formula>
    </cfRule>
  </conditionalFormatting>
  <conditionalFormatting sqref="M86:N86">
    <cfRule type="cellIs" dxfId="62" priority="72" operator="lessThan">
      <formula>0</formula>
    </cfRule>
  </conditionalFormatting>
  <conditionalFormatting sqref="G6:G8">
    <cfRule type="cellIs" dxfId="61" priority="71" operator="lessThan">
      <formula>0</formula>
    </cfRule>
  </conditionalFormatting>
  <conditionalFormatting sqref="C46">
    <cfRule type="cellIs" dxfId="60" priority="69" operator="lessThan">
      <formula>0</formula>
    </cfRule>
  </conditionalFormatting>
  <conditionalFormatting sqref="E46">
    <cfRule type="cellIs" dxfId="59" priority="68" operator="lessThan">
      <formula>0</formula>
    </cfRule>
  </conditionalFormatting>
  <conditionalFormatting sqref="C104:D114 E103">
    <cfRule type="cellIs" dxfId="58" priority="67" operator="lessThan">
      <formula>0</formula>
    </cfRule>
  </conditionalFormatting>
  <conditionalFormatting sqref="C103:D103">
    <cfRule type="cellIs" dxfId="57" priority="66" operator="lessThan">
      <formula>0</formula>
    </cfRule>
  </conditionalFormatting>
  <conditionalFormatting sqref="E104:E114">
    <cfRule type="cellIs" dxfId="56" priority="65" operator="lessThan">
      <formula>0</formula>
    </cfRule>
  </conditionalFormatting>
  <conditionalFormatting sqref="C44">
    <cfRule type="cellIs" dxfId="55" priority="64" operator="lessThan">
      <formula>0</formula>
    </cfRule>
  </conditionalFormatting>
  <conditionalFormatting sqref="E44">
    <cfRule type="cellIs" dxfId="54" priority="63" operator="lessThan">
      <formula>0</formula>
    </cfRule>
  </conditionalFormatting>
  <conditionalFormatting sqref="D48">
    <cfRule type="cellIs" dxfId="53" priority="62" operator="lessThan">
      <formula>0</formula>
    </cfRule>
  </conditionalFormatting>
  <conditionalFormatting sqref="F48">
    <cfRule type="cellIs" dxfId="52" priority="61" operator="lessThan">
      <formula>0</formula>
    </cfRule>
  </conditionalFormatting>
  <conditionalFormatting sqref="E56:E58">
    <cfRule type="cellIs" dxfId="51" priority="60" operator="lessThan">
      <formula>0</formula>
    </cfRule>
  </conditionalFormatting>
  <conditionalFormatting sqref="C121:D124 E120">
    <cfRule type="cellIs" dxfId="50" priority="56" operator="lessThan">
      <formula>0</formula>
    </cfRule>
  </conditionalFormatting>
  <conditionalFormatting sqref="C120:D120">
    <cfRule type="cellIs" dxfId="49" priority="55" operator="lessThan">
      <formula>0</formula>
    </cfRule>
  </conditionalFormatting>
  <conditionalFormatting sqref="E121:E125">
    <cfRule type="cellIs" dxfId="48" priority="54" operator="lessThan">
      <formula>0</formula>
    </cfRule>
  </conditionalFormatting>
  <conditionalFormatting sqref="C125:D125">
    <cfRule type="cellIs" dxfId="47" priority="53" operator="lessThan">
      <formula>0</formula>
    </cfRule>
  </conditionalFormatting>
  <conditionalFormatting sqref="C130:D133 E129">
    <cfRule type="cellIs" dxfId="46" priority="52" operator="lessThan">
      <formula>0</formula>
    </cfRule>
  </conditionalFormatting>
  <conditionalFormatting sqref="C129:D129">
    <cfRule type="cellIs" dxfId="45" priority="51" operator="lessThan">
      <formula>0</formula>
    </cfRule>
  </conditionalFormatting>
  <conditionalFormatting sqref="E130:E142">
    <cfRule type="cellIs" dxfId="44" priority="50" operator="lessThan">
      <formula>0</formula>
    </cfRule>
  </conditionalFormatting>
  <conditionalFormatting sqref="C134:D142">
    <cfRule type="cellIs" dxfId="43" priority="49" operator="lessThan">
      <formula>0</formula>
    </cfRule>
  </conditionalFormatting>
  <conditionalFormatting sqref="H121:I124 J120">
    <cfRule type="cellIs" dxfId="42" priority="48" operator="lessThan">
      <formula>0</formula>
    </cfRule>
  </conditionalFormatting>
  <conditionalFormatting sqref="J121:J125">
    <cfRule type="cellIs" dxfId="41" priority="46" operator="lessThan">
      <formula>0</formula>
    </cfRule>
  </conditionalFormatting>
  <conditionalFormatting sqref="H125:I125">
    <cfRule type="cellIs" dxfId="40" priority="45" operator="lessThan">
      <formula>0</formula>
    </cfRule>
  </conditionalFormatting>
  <conditionalFormatting sqref="H130:I133 J129">
    <cfRule type="cellIs" dxfId="39" priority="44" operator="lessThan">
      <formula>0</formula>
    </cfRule>
  </conditionalFormatting>
  <conditionalFormatting sqref="J130:J142">
    <cfRule type="cellIs" dxfId="38" priority="42" operator="lessThan">
      <formula>0</formula>
    </cfRule>
  </conditionalFormatting>
  <conditionalFormatting sqref="H134:I142">
    <cfRule type="cellIs" dxfId="37" priority="41" operator="lessThan">
      <formula>0</formula>
    </cfRule>
  </conditionalFormatting>
  <conditionalFormatting sqref="H104:I114 J103">
    <cfRule type="cellIs" dxfId="36" priority="40" operator="lessThan">
      <formula>0</formula>
    </cfRule>
  </conditionalFormatting>
  <conditionalFormatting sqref="J104:J114">
    <cfRule type="cellIs" dxfId="35" priority="38" operator="lessThan">
      <formula>0</formula>
    </cfRule>
  </conditionalFormatting>
  <conditionalFormatting sqref="M121:N124 O120">
    <cfRule type="cellIs" dxfId="34" priority="34" operator="lessThan">
      <formula>0</formula>
    </cfRule>
  </conditionalFormatting>
  <conditionalFormatting sqref="O121:O125">
    <cfRule type="cellIs" dxfId="33" priority="32" operator="lessThan">
      <formula>0</formula>
    </cfRule>
  </conditionalFormatting>
  <conditionalFormatting sqref="M125:N125">
    <cfRule type="cellIs" dxfId="32" priority="31" operator="lessThan">
      <formula>0</formula>
    </cfRule>
  </conditionalFormatting>
  <conditionalFormatting sqref="M130:N133 O129">
    <cfRule type="cellIs" dxfId="31" priority="30" operator="lessThan">
      <formula>0</formula>
    </cfRule>
  </conditionalFormatting>
  <conditionalFormatting sqref="O130:O142">
    <cfRule type="cellIs" dxfId="30" priority="28" operator="lessThan">
      <formula>0</formula>
    </cfRule>
  </conditionalFormatting>
  <conditionalFormatting sqref="M134:N142">
    <cfRule type="cellIs" dxfId="29" priority="27" operator="lessThan">
      <formula>0</formula>
    </cfRule>
  </conditionalFormatting>
  <conditionalFormatting sqref="M104:N114 O103">
    <cfRule type="cellIs" dxfId="28" priority="26" operator="lessThan">
      <formula>0</formula>
    </cfRule>
  </conditionalFormatting>
  <conditionalFormatting sqref="O104:O114">
    <cfRule type="cellIs" dxfId="27" priority="24" operator="lessThan">
      <formula>0</formula>
    </cfRule>
  </conditionalFormatting>
  <conditionalFormatting sqref="H103:I103">
    <cfRule type="cellIs" dxfId="26" priority="23" operator="lessThan">
      <formula>0</formula>
    </cfRule>
  </conditionalFormatting>
  <conditionalFormatting sqref="H120:I120">
    <cfRule type="cellIs" dxfId="25" priority="22" operator="lessThan">
      <formula>0</formula>
    </cfRule>
  </conditionalFormatting>
  <conditionalFormatting sqref="H129:I129">
    <cfRule type="cellIs" dxfId="24" priority="21" operator="lessThan">
      <formula>0</formula>
    </cfRule>
  </conditionalFormatting>
  <conditionalFormatting sqref="M103:N103">
    <cfRule type="cellIs" dxfId="23" priority="20" operator="lessThan">
      <formula>0</formula>
    </cfRule>
  </conditionalFormatting>
  <conditionalFormatting sqref="M120:N120">
    <cfRule type="cellIs" dxfId="22" priority="19" operator="lessThan">
      <formula>0</formula>
    </cfRule>
  </conditionalFormatting>
  <conditionalFormatting sqref="M129:N129">
    <cfRule type="cellIs" dxfId="21" priority="18" operator="lessThan">
      <formula>0</formula>
    </cfRule>
  </conditionalFormatting>
  <conditionalFormatting sqref="C147:D150 E146">
    <cfRule type="cellIs" dxfId="20" priority="17" operator="lessThan">
      <formula>0</formula>
    </cfRule>
  </conditionalFormatting>
  <conditionalFormatting sqref="C146:D146">
    <cfRule type="cellIs" dxfId="19" priority="16" operator="lessThan">
      <formula>0</formula>
    </cfRule>
  </conditionalFormatting>
  <conditionalFormatting sqref="E147:E156">
    <cfRule type="cellIs" dxfId="18" priority="15" operator="lessThan">
      <formula>0</formula>
    </cfRule>
  </conditionalFormatting>
  <conditionalFormatting sqref="C151:D156">
    <cfRule type="cellIs" dxfId="17" priority="14" operator="lessThan">
      <formula>0</formula>
    </cfRule>
  </conditionalFormatting>
  <conditionalFormatting sqref="H147:I150 J146">
    <cfRule type="cellIs" dxfId="16" priority="13" operator="lessThan">
      <formula>0</formula>
    </cfRule>
  </conditionalFormatting>
  <conditionalFormatting sqref="J147:J156">
    <cfRule type="cellIs" dxfId="15" priority="12" operator="lessThan">
      <formula>0</formula>
    </cfRule>
  </conditionalFormatting>
  <conditionalFormatting sqref="H151:I156">
    <cfRule type="cellIs" dxfId="14" priority="11" operator="lessThan">
      <formula>0</formula>
    </cfRule>
  </conditionalFormatting>
  <conditionalFormatting sqref="M147:N150 O146">
    <cfRule type="cellIs" dxfId="13" priority="10" operator="lessThan">
      <formula>0</formula>
    </cfRule>
  </conditionalFormatting>
  <conditionalFormatting sqref="O147:O156">
    <cfRule type="cellIs" dxfId="12" priority="9" operator="lessThan">
      <formula>0</formula>
    </cfRule>
  </conditionalFormatting>
  <conditionalFormatting sqref="M151:N156">
    <cfRule type="cellIs" dxfId="11" priority="8" operator="lessThan">
      <formula>0</formula>
    </cfRule>
  </conditionalFormatting>
  <conditionalFormatting sqref="H146:I146">
    <cfRule type="cellIs" dxfId="10" priority="7" operator="lessThan">
      <formula>0</formula>
    </cfRule>
  </conditionalFormatting>
  <conditionalFormatting sqref="M146:N146">
    <cfRule type="cellIs" dxfId="9" priority="6" operator="lessThan">
      <formula>0</formula>
    </cfRule>
  </conditionalFormatting>
  <conditionalFormatting sqref="B23">
    <cfRule type="cellIs" dxfId="8" priority="5" operator="lessThan">
      <formula>0</formula>
    </cfRule>
  </conditionalFormatting>
  <conditionalFormatting sqref="I6:I8">
    <cfRule type="cellIs" dxfId="7" priority="4" operator="lessThan">
      <formula>0</formula>
    </cfRule>
  </conditionalFormatting>
  <conditionalFormatting sqref="H6:H8">
    <cfRule type="cellIs" dxfId="6" priority="3" operator="lessThan">
      <formula>0</formula>
    </cfRule>
  </conditionalFormatting>
  <conditionalFormatting sqref="H6">
    <cfRule type="cellIs" dxfId="5" priority="2" operator="equal">
      <formula>"Lønnsomt"</formula>
    </cfRule>
  </conditionalFormatting>
  <conditionalFormatting sqref="H7:H8">
    <cfRule type="cellIs" dxfId="4" priority="1" operator="equal">
      <formula>"Lønnsomt"</formula>
    </cfRule>
  </conditionalFormatting>
  <hyperlinks>
    <hyperlink ref="B29" location="Kalkulator!A54" display="Grunnverdi" xr:uid="{00000000-0004-0000-0000-000000000000}"/>
    <hyperlink ref="B30" location="Sensitivitets_analyser" display="Sensitivitets_analyser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'Proddata fra skoghåndbok'!$B$12:$N$12</xm:f>
          </x14:formula1>
          <xm:sqref>B16</xm:sqref>
        </x14:dataValidation>
        <x14:dataValidation type="list" allowBlank="1" showInputMessage="1" showErrorMessage="1" xr:uid="{00000000-0002-0000-0000-000001000000}">
          <x14:formula1>
            <xm:f>'Proddata fra skoghåndbok'!$A$5:$A$9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AA41"/>
  <sheetViews>
    <sheetView workbookViewId="0">
      <selection activeCell="X41" sqref="X41"/>
    </sheetView>
  </sheetViews>
  <sheetFormatPr baseColWidth="10" defaultColWidth="8.7109375" defaultRowHeight="15" x14ac:dyDescent="0.25"/>
  <cols>
    <col min="1" max="5" width="7.140625" customWidth="1"/>
    <col min="6" max="6" width="9" bestFit="1" customWidth="1"/>
    <col min="7" max="10" width="12.140625" bestFit="1" customWidth="1"/>
    <col min="11" max="17" width="12.5703125" bestFit="1" customWidth="1"/>
    <col min="20" max="20" width="10.85546875" bestFit="1" customWidth="1"/>
    <col min="25" max="25" width="9.42578125" bestFit="1" customWidth="1"/>
  </cols>
  <sheetData>
    <row r="1" spans="1:17" x14ac:dyDescent="0.25">
      <c r="D1" s="25"/>
    </row>
    <row r="2" spans="1:17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7" x14ac:dyDescent="0.25">
      <c r="A3" s="28"/>
      <c r="B3" s="12"/>
      <c r="C3" s="12"/>
      <c r="D3" s="28"/>
      <c r="E3" s="28"/>
      <c r="F3" s="28"/>
      <c r="H3" s="28"/>
      <c r="I3" s="28"/>
      <c r="J3" s="30"/>
      <c r="K3" s="26"/>
    </row>
    <row r="4" spans="1:17" x14ac:dyDescent="0.25">
      <c r="A4" s="28"/>
      <c r="B4" s="12"/>
      <c r="C4" s="12"/>
      <c r="D4" s="28"/>
      <c r="E4" s="28"/>
      <c r="F4" s="28"/>
      <c r="G4" s="28"/>
      <c r="H4" s="28"/>
      <c r="I4" s="28"/>
      <c r="J4" s="30"/>
      <c r="K4" s="26"/>
    </row>
    <row r="5" spans="1:17" x14ac:dyDescent="0.25">
      <c r="A5" s="28"/>
      <c r="B5" s="12"/>
      <c r="C5" s="12"/>
      <c r="D5" s="28"/>
      <c r="E5" s="28"/>
      <c r="F5" s="28"/>
      <c r="G5" s="28"/>
      <c r="H5" s="28"/>
      <c r="I5" s="28"/>
      <c r="J5" s="30"/>
      <c r="K5" s="26"/>
      <c r="L5" s="29"/>
    </row>
    <row r="6" spans="1:17" x14ac:dyDescent="0.25">
      <c r="A6" s="28"/>
      <c r="B6" s="12"/>
      <c r="C6" s="12"/>
      <c r="D6" s="28"/>
      <c r="E6" s="28"/>
      <c r="F6" s="28"/>
      <c r="G6" s="28"/>
      <c r="H6" s="28"/>
      <c r="I6" s="28"/>
      <c r="J6" s="30"/>
      <c r="K6" s="26"/>
      <c r="L6" s="29"/>
    </row>
    <row r="7" spans="1:17" x14ac:dyDescent="0.25">
      <c r="A7" s="28"/>
      <c r="B7" s="12"/>
      <c r="C7" s="12"/>
      <c r="D7" s="28"/>
      <c r="E7" s="28"/>
      <c r="F7" s="28"/>
      <c r="G7" s="28"/>
      <c r="H7" s="28"/>
      <c r="I7" s="28"/>
      <c r="J7" s="30"/>
      <c r="K7" s="26"/>
      <c r="L7" s="29"/>
    </row>
    <row r="8" spans="1:17" x14ac:dyDescent="0.25">
      <c r="A8" s="28"/>
      <c r="B8" s="12"/>
      <c r="C8" s="12"/>
      <c r="D8" s="28"/>
      <c r="E8" s="28"/>
      <c r="F8" s="28"/>
      <c r="G8" s="28"/>
      <c r="H8" s="28"/>
      <c r="I8" s="28"/>
      <c r="J8" s="30"/>
      <c r="K8" s="26"/>
      <c r="L8" s="29"/>
    </row>
    <row r="9" spans="1:17" x14ac:dyDescent="0.25">
      <c r="A9" s="28"/>
      <c r="B9" s="12"/>
      <c r="C9" s="12"/>
      <c r="D9" s="28"/>
      <c r="E9" s="28"/>
      <c r="F9" s="28"/>
      <c r="G9" s="28"/>
      <c r="H9" s="28"/>
      <c r="I9" s="28"/>
      <c r="J9" s="30"/>
      <c r="K9" s="26"/>
      <c r="L9" s="29"/>
    </row>
    <row r="10" spans="1:17" x14ac:dyDescent="0.25">
      <c r="A10" s="28"/>
      <c r="B10" s="12"/>
      <c r="C10" s="12"/>
      <c r="D10" s="28"/>
      <c r="E10" s="28"/>
      <c r="F10" s="28"/>
      <c r="G10" s="28"/>
      <c r="H10" s="28"/>
      <c r="I10" s="28"/>
      <c r="J10" s="30"/>
      <c r="K10" s="26"/>
      <c r="L10" s="29"/>
    </row>
    <row r="11" spans="1:17" x14ac:dyDescent="0.25">
      <c r="A11" s="28"/>
      <c r="B11" s="12"/>
      <c r="C11" s="12"/>
      <c r="D11" s="28"/>
      <c r="E11" s="28"/>
      <c r="F11" s="28"/>
      <c r="G11" s="28"/>
      <c r="H11" s="28"/>
      <c r="I11" s="28"/>
      <c r="J11" s="30"/>
      <c r="K11" s="26"/>
      <c r="L11" s="29"/>
    </row>
    <row r="12" spans="1:17" x14ac:dyDescent="0.25">
      <c r="A12" s="28"/>
      <c r="B12" s="12"/>
      <c r="C12" s="12"/>
      <c r="D12" s="28"/>
      <c r="E12" s="28"/>
      <c r="F12" s="28"/>
      <c r="G12" s="28"/>
      <c r="H12" s="28"/>
      <c r="I12" s="28"/>
      <c r="J12" s="30"/>
      <c r="K12" s="26"/>
      <c r="L12" s="29"/>
    </row>
    <row r="13" spans="1:17" x14ac:dyDescent="0.25">
      <c r="A13" s="28"/>
      <c r="B13" s="12"/>
      <c r="C13" s="12"/>
      <c r="D13" s="28"/>
      <c r="E13" s="28"/>
      <c r="F13" s="28" t="s">
        <v>124</v>
      </c>
      <c r="G13" s="28">
        <v>20</v>
      </c>
      <c r="H13" s="28"/>
      <c r="I13" s="28"/>
      <c r="J13" s="30"/>
      <c r="K13" s="26"/>
      <c r="L13" s="29"/>
    </row>
    <row r="14" spans="1:17" x14ac:dyDescent="0.25">
      <c r="A14" s="28"/>
      <c r="B14" s="12"/>
      <c r="C14" s="12"/>
      <c r="D14" s="28"/>
      <c r="E14" s="28"/>
      <c r="F14" s="28" t="s">
        <v>123</v>
      </c>
      <c r="G14" s="102">
        <v>2.5000000000000001E-2</v>
      </c>
      <c r="H14" s="28"/>
      <c r="I14" s="28"/>
      <c r="J14" s="30"/>
      <c r="K14" s="26"/>
      <c r="L14" s="29"/>
    </row>
    <row r="15" spans="1:17" x14ac:dyDescent="0.25">
      <c r="F15" s="13">
        <v>0</v>
      </c>
      <c r="G15" s="13">
        <v>0.1</v>
      </c>
      <c r="H15" s="13">
        <v>0.3</v>
      </c>
      <c r="I15" s="13">
        <v>0.5</v>
      </c>
      <c r="J15" s="13">
        <v>0.7</v>
      </c>
      <c r="K15" s="13">
        <v>0.85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</row>
    <row r="16" spans="1:17" x14ac:dyDescent="0.25">
      <c r="A16" s="28"/>
      <c r="B16" s="12"/>
      <c r="C16" s="12"/>
      <c r="D16" s="28"/>
      <c r="E16" s="28"/>
      <c r="F16" s="103">
        <f t="shared" ref="F16:Q16" si="0">1/(1+$G$14)^F$17</f>
        <v>0.78119840172572708</v>
      </c>
      <c r="G16" s="103">
        <f t="shared" si="0"/>
        <v>0.61027094285883032</v>
      </c>
      <c r="H16" s="103">
        <f t="shared" si="0"/>
        <v>0.47674268518097085</v>
      </c>
      <c r="I16" s="103">
        <f t="shared" si="0"/>
        <v>0.37243062369780583</v>
      </c>
      <c r="J16" s="103">
        <f t="shared" si="0"/>
        <v>0.29094220798644155</v>
      </c>
      <c r="K16" s="103">
        <f t="shared" si="0"/>
        <v>0.2272835878735622</v>
      </c>
      <c r="L16" s="103">
        <f t="shared" si="0"/>
        <v>0.17755357558531562</v>
      </c>
      <c r="M16" s="103">
        <f t="shared" si="0"/>
        <v>0.13870456946793663</v>
      </c>
      <c r="N16" s="103">
        <f t="shared" si="0"/>
        <v>0.10835578798040717</v>
      </c>
      <c r="O16" s="103">
        <f t="shared" si="0"/>
        <v>8.4647368388025807E-2</v>
      </c>
      <c r="P16" s="103">
        <f t="shared" si="0"/>
        <v>6.6126388895014612E-2</v>
      </c>
      <c r="Q16" s="103">
        <f t="shared" si="0"/>
        <v>5.1657829316679262E-2</v>
      </c>
    </row>
    <row r="17" spans="1:27" x14ac:dyDescent="0.25">
      <c r="F17">
        <v>10</v>
      </c>
      <c r="G17">
        <f>+F17+10</f>
        <v>20</v>
      </c>
      <c r="H17">
        <f t="shared" ref="H17:Q17" si="1">+G17+10</f>
        <v>30</v>
      </c>
      <c r="I17">
        <f t="shared" si="1"/>
        <v>40</v>
      </c>
      <c r="J17">
        <f t="shared" si="1"/>
        <v>50</v>
      </c>
      <c r="K17">
        <f t="shared" si="1"/>
        <v>60</v>
      </c>
      <c r="L17">
        <f t="shared" si="1"/>
        <v>70</v>
      </c>
      <c r="M17">
        <f t="shared" si="1"/>
        <v>80</v>
      </c>
      <c r="N17">
        <f t="shared" si="1"/>
        <v>90</v>
      </c>
      <c r="O17">
        <f>+N17+10</f>
        <v>100</v>
      </c>
      <c r="P17">
        <f t="shared" si="1"/>
        <v>110</v>
      </c>
      <c r="Q17">
        <f t="shared" si="1"/>
        <v>120</v>
      </c>
    </row>
    <row r="18" spans="1:27" x14ac:dyDescent="0.25">
      <c r="A18" s="25">
        <v>0.75</v>
      </c>
      <c r="B18" s="3">
        <v>500</v>
      </c>
      <c r="C18" s="25">
        <f>1-A18</f>
        <v>0.25</v>
      </c>
      <c r="D18" s="3">
        <v>220</v>
      </c>
      <c r="E18">
        <f>A18*B18+C18*D18</f>
        <v>430</v>
      </c>
      <c r="F18" s="104">
        <f>'Proddata fra skoghåndbok'!B13*F$16*F$15*$E18</f>
        <v>0</v>
      </c>
      <c r="G18" s="28">
        <f>'Proddata fra skoghåndbok'!C$13*G$16*G$15*$E18</f>
        <v>333.79379490606584</v>
      </c>
      <c r="H18" s="28">
        <f>'Proddata fra skoghåndbok'!D$13*H$16*H$15*$E18</f>
        <v>1279.195972877581</v>
      </c>
      <c r="I18" s="28">
        <f>'Proddata fra skoghåndbok'!E$13*I$16*I$15*$E18</f>
        <v>2113.9162201087461</v>
      </c>
      <c r="J18" s="28">
        <f>'Proddata fra skoghåndbok'!F$13*J$16*J$15*$E18</f>
        <v>2872.4142310085399</v>
      </c>
      <c r="K18" s="28">
        <f>'Proddata fra skoghåndbok'!G$13*K$16*K$15*$E18</f>
        <v>3189.9706125230209</v>
      </c>
      <c r="L18" s="28">
        <f>'Proddata fra skoghåndbok'!H$13*L$16*L$15*$E18</f>
        <v>3542.5489400782176</v>
      </c>
      <c r="M18" s="28">
        <f>'Proddata fra skoghåndbok'!I$13*M$16*M$15*$E18</f>
        <v>3244.577288993974</v>
      </c>
      <c r="N18" s="28">
        <f>'Proddata fra skoghåndbok'!J$13*N$16*N$15*$E18</f>
        <v>2534.6585924376845</v>
      </c>
      <c r="O18" s="28">
        <f>'Proddata fra skoghåndbok'!K$13*O$16*O$15*$E18</f>
        <v>1980.0712413326999</v>
      </c>
      <c r="P18" s="28">
        <f>'Proddata fra skoghåndbok'!L$13*P$16*P$15*$E18</f>
        <v>1546.828489032182</v>
      </c>
      <c r="Q18" s="28">
        <f>'Proddata fra skoghåndbok'!N$13*Q$16*Q$15*$E18</f>
        <v>1208.3799433757615</v>
      </c>
    </row>
    <row r="19" spans="1:27" x14ac:dyDescent="0.25">
      <c r="A19" s="25">
        <v>0.5</v>
      </c>
      <c r="B19" s="3">
        <v>500</v>
      </c>
      <c r="C19" s="25">
        <f t="shared" ref="C19:C21" si="2">1-A19</f>
        <v>0.5</v>
      </c>
      <c r="D19" s="3">
        <f>D18</f>
        <v>220</v>
      </c>
      <c r="E19">
        <f t="shared" ref="E19:E21" si="3">A19*B19+C19*D19</f>
        <v>360</v>
      </c>
      <c r="F19" s="104">
        <f>'Proddata fra skoghåndbok'!B14*F$16*F$15*$E19</f>
        <v>0</v>
      </c>
      <c r="G19" s="28">
        <f>'Proddata fra skoghåndbok'!C$13*G$16*G$15*$E19</f>
        <v>279.45527015391559</v>
      </c>
      <c r="H19" s="28">
        <f>'Proddata fra skoghåndbok'!D$13*H$16*H$15*$E19</f>
        <v>1070.9547679905329</v>
      </c>
      <c r="I19" s="28">
        <f>'Proddata fra skoghåndbok'!E$13*I$16*I$15*$E19</f>
        <v>1769.7903238119736</v>
      </c>
      <c r="J19" s="28">
        <f>'Proddata fra skoghåndbok'!F$13*J$16*J$15*$E19</f>
        <v>2404.8119143327312</v>
      </c>
      <c r="K19" s="28">
        <f>'Proddata fra skoghåndbok'!G$13*K$16*K$15*$E19</f>
        <v>2670.6730709495059</v>
      </c>
      <c r="L19" s="28">
        <f>'Proddata fra skoghåndbok'!H$13*L$16*L$15*$E19</f>
        <v>2965.8549265771126</v>
      </c>
      <c r="M19" s="28">
        <f>'Proddata fra skoghåndbok'!I$13*M$16*M$15*$E19</f>
        <v>2716.3902884600711</v>
      </c>
      <c r="N19" s="28">
        <f>'Proddata fra skoghåndbok'!J$13*N$16*N$15*$E19</f>
        <v>2122.0397518082941</v>
      </c>
      <c r="O19" s="28">
        <f>'Proddata fra skoghåndbok'!K$13*O$16*O$15*$E19</f>
        <v>1657.7340625110976</v>
      </c>
      <c r="P19" s="28">
        <f>'Proddata fra skoghåndbok'!L$13*P$16*P$15*$E19</f>
        <v>1295.0192001199662</v>
      </c>
      <c r="Q19" s="28">
        <f>'Proddata fra skoghåndbok'!N$13*Q$16*Q$15*$E19</f>
        <v>1011.6669293378468</v>
      </c>
    </row>
    <row r="20" spans="1:27" x14ac:dyDescent="0.25">
      <c r="A20" s="25">
        <v>0.25</v>
      </c>
      <c r="B20" s="3">
        <v>500</v>
      </c>
      <c r="C20" s="25">
        <f t="shared" si="2"/>
        <v>0.75</v>
      </c>
      <c r="D20" s="3">
        <f t="shared" ref="D20:D21" si="4">D19</f>
        <v>220</v>
      </c>
      <c r="E20">
        <f t="shared" si="3"/>
        <v>290</v>
      </c>
      <c r="F20">
        <f t="shared" ref="F20:F21" si="5">F19*F$16*F$15</f>
        <v>0</v>
      </c>
      <c r="G20" s="28">
        <f>'Proddata fra skoghåndbok'!C$13*G$16*G$15*$E20</f>
        <v>225.11674540176534</v>
      </c>
      <c r="H20" s="28">
        <f>'Proddata fra skoghåndbok'!D$13*H$16*H$15*$E20</f>
        <v>862.71356310348472</v>
      </c>
      <c r="I20" s="28">
        <f>'Proddata fra skoghåndbok'!E$13*I$16*I$15*$E20</f>
        <v>1425.6644275152009</v>
      </c>
      <c r="J20" s="28">
        <f>'Proddata fra skoghåndbok'!F$13*J$16*J$15*$E20</f>
        <v>1937.2095976569224</v>
      </c>
      <c r="K20" s="28">
        <f>'Proddata fra skoghåndbok'!G$13*K$16*K$15*$E20</f>
        <v>2151.3755293759909</v>
      </c>
      <c r="L20" s="28">
        <f>'Proddata fra skoghåndbok'!H$13*L$16*L$15*$E20</f>
        <v>2389.1609130760071</v>
      </c>
      <c r="M20" s="28">
        <f>'Proddata fra skoghåndbok'!I$13*M$16*M$15*$E20</f>
        <v>2188.2032879261687</v>
      </c>
      <c r="N20" s="28">
        <f>'Proddata fra skoghåndbok'!J$13*N$16*N$15*$E20</f>
        <v>1709.4209111789037</v>
      </c>
      <c r="O20" s="28">
        <f>'Proddata fra skoghåndbok'!K$13*O$16*O$15*$E20</f>
        <v>1335.3968836894953</v>
      </c>
      <c r="P20" s="28">
        <f>'Proddata fra skoghåndbok'!L$13*P$16*P$15*$E20</f>
        <v>1043.2099112077506</v>
      </c>
      <c r="Q20" s="28">
        <f>'Proddata fra skoghåndbok'!N$13*Q$16*Q$15*$E20</f>
        <v>814.95391529993219</v>
      </c>
    </row>
    <row r="21" spans="1:27" x14ac:dyDescent="0.25">
      <c r="A21" s="25">
        <v>0</v>
      </c>
      <c r="B21" s="3">
        <v>500</v>
      </c>
      <c r="C21" s="25">
        <f t="shared" si="2"/>
        <v>1</v>
      </c>
      <c r="D21" s="3">
        <f t="shared" si="4"/>
        <v>220</v>
      </c>
      <c r="E21">
        <f t="shared" si="3"/>
        <v>220</v>
      </c>
      <c r="F21">
        <f t="shared" si="5"/>
        <v>0</v>
      </c>
      <c r="G21" s="28">
        <f>'Proddata fra skoghåndbok'!C$13*G$16*G$15*$E21</f>
        <v>170.77822064961509</v>
      </c>
      <c r="H21" s="28">
        <f>'Proddata fra skoghåndbok'!D$13*H$16*H$15*$E21</f>
        <v>654.47235821643676</v>
      </c>
      <c r="I21" s="28">
        <f>'Proddata fra skoghåndbok'!E$13*I$16*I$15*$E21</f>
        <v>1081.5385312184283</v>
      </c>
      <c r="J21" s="28">
        <f>'Proddata fra skoghåndbok'!F$13*J$16*J$15*$E21</f>
        <v>1469.6072809811135</v>
      </c>
      <c r="K21" s="28">
        <f>'Proddata fra skoghåndbok'!G$13*K$16*K$15*$E21</f>
        <v>1632.0779878024757</v>
      </c>
      <c r="L21" s="28">
        <f>'Proddata fra skoghåndbok'!H$13*L$16*L$15*$E21</f>
        <v>1812.4668995749021</v>
      </c>
      <c r="M21" s="28">
        <f>'Proddata fra skoghåndbok'!I$13*M$16*M$15*$E21</f>
        <v>1660.0162873922659</v>
      </c>
      <c r="N21" s="28">
        <f>'Proddata fra skoghåndbok'!J$13*N$16*N$15*$E21</f>
        <v>1296.802070549513</v>
      </c>
      <c r="O21" s="28">
        <f>'Proddata fra skoghåndbok'!K$13*O$16*O$15*$E21</f>
        <v>1013.0597048678929</v>
      </c>
      <c r="P21" s="28">
        <f>'Proddata fra skoghåndbok'!L$13*P$16*P$15*$E21</f>
        <v>791.40062229553496</v>
      </c>
      <c r="Q21" s="28">
        <f>'Proddata fra skoghåndbok'!N$13*Q$16*Q$15*$E21</f>
        <v>618.24090126201747</v>
      </c>
    </row>
    <row r="22" spans="1:27" x14ac:dyDescent="0.25"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27" x14ac:dyDescent="0.25"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27" x14ac:dyDescent="0.25">
      <c r="E24">
        <f>E18</f>
        <v>430</v>
      </c>
      <c r="G24" s="28">
        <f>'Proddata fra skoghåndbok'!C$13*1*G$15*$E24</f>
        <v>546.96000000000015</v>
      </c>
      <c r="H24" s="28">
        <f>'Proddata fra skoghåndbok'!D$13*1*H$15*$E24</f>
        <v>2683.2000000000003</v>
      </c>
      <c r="I24" s="28">
        <f>'Proddata fra skoghåndbok'!E$13*1*I$15*$E24</f>
        <v>5676.0000000000009</v>
      </c>
      <c r="J24" s="28">
        <f>'Proddata fra skoghåndbok'!F$13*1*J$15*$E24</f>
        <v>9872.8000000000011</v>
      </c>
      <c r="K24" s="28">
        <f>'Proddata fra skoghåndbok'!G$13*1*K$15*$E24</f>
        <v>14035.2</v>
      </c>
      <c r="L24" s="28">
        <f>'Proddata fra skoghåndbok'!H$13*1*L$15*$E24</f>
        <v>19952.000000000004</v>
      </c>
      <c r="M24" s="28">
        <f>'Proddata fra skoghåndbok'!I$13*1*M$15*$E24</f>
        <v>23392.000000000004</v>
      </c>
      <c r="N24" s="28">
        <f>'Proddata fra skoghåndbok'!J$13*1*N$15*$E24</f>
        <v>23392.000000000004</v>
      </c>
      <c r="O24" s="28">
        <f>'Proddata fra skoghåndbok'!K$13*1*O$15*$E24</f>
        <v>23392.000000000004</v>
      </c>
      <c r="P24" s="28">
        <f>'Proddata fra skoghåndbok'!L$13*1*P$15*$E24</f>
        <v>23392.000000000004</v>
      </c>
      <c r="Q24" s="28">
        <f>'Proddata fra skoghåndbok'!N$13*1*Q$15*$E24</f>
        <v>23392.000000000004</v>
      </c>
    </row>
    <row r="25" spans="1:27" x14ac:dyDescent="0.25">
      <c r="E25">
        <f t="shared" ref="E25:E27" si="6">E19</f>
        <v>360</v>
      </c>
      <c r="G25" s="28">
        <f>'Proddata fra skoghåndbok'!C$13*1*G$15*$E25</f>
        <v>457.92000000000007</v>
      </c>
      <c r="H25" s="28">
        <f>'Proddata fra skoghåndbok'!D$13*1*H$15*$E25</f>
        <v>2246.4</v>
      </c>
      <c r="I25" s="28">
        <f>'Proddata fra skoghåndbok'!E$13*1*I$15*$E25</f>
        <v>4752</v>
      </c>
      <c r="J25" s="28">
        <f>'Proddata fra skoghåndbok'!F$13*1*J$15*$E25</f>
        <v>8265.6</v>
      </c>
      <c r="K25" s="28">
        <f>'Proddata fra skoghåndbok'!G$13*1*K$15*$E25</f>
        <v>11750.4</v>
      </c>
      <c r="L25" s="28">
        <f>'Proddata fra skoghåndbok'!H$13*1*L$15*$E25</f>
        <v>16704.000000000004</v>
      </c>
      <c r="M25" s="28">
        <f>'Proddata fra skoghåndbok'!I$13*1*M$15*$E25</f>
        <v>19584.000000000004</v>
      </c>
      <c r="N25" s="28">
        <f>'Proddata fra skoghåndbok'!J$13*1*N$15*$E25</f>
        <v>19584.000000000004</v>
      </c>
      <c r="O25" s="28">
        <f>'Proddata fra skoghåndbok'!K$13*1*O$15*$E25</f>
        <v>19584.000000000004</v>
      </c>
      <c r="P25" s="28">
        <f>'Proddata fra skoghåndbok'!L$13*1*P$15*$E25</f>
        <v>19584.000000000004</v>
      </c>
      <c r="Q25" s="28">
        <f>'Proddata fra skoghåndbok'!N$13*1*Q$15*$E25</f>
        <v>19584.000000000004</v>
      </c>
    </row>
    <row r="26" spans="1:27" x14ac:dyDescent="0.25">
      <c r="E26">
        <f t="shared" si="6"/>
        <v>290</v>
      </c>
      <c r="G26" s="28">
        <f>'Proddata fra skoghåndbok'!C$13*1*G$15*$E26</f>
        <v>368.88000000000005</v>
      </c>
      <c r="H26" s="28">
        <f>'Proddata fra skoghåndbok'!D$13*1*H$15*$E26</f>
        <v>1809.6000000000001</v>
      </c>
      <c r="I26" s="28">
        <f>'Proddata fra skoghåndbok'!E$13*1*I$15*$E26</f>
        <v>3828.0000000000005</v>
      </c>
      <c r="J26" s="28">
        <f>'Proddata fra skoghåndbok'!F$13*1*J$15*$E26</f>
        <v>6658.4000000000005</v>
      </c>
      <c r="K26" s="28">
        <f>'Proddata fra skoghåndbok'!G$13*1*K$15*$E26</f>
        <v>9465.6</v>
      </c>
      <c r="L26" s="28">
        <f>'Proddata fra skoghåndbok'!H$13*1*L$15*$E26</f>
        <v>13456.000000000002</v>
      </c>
      <c r="M26" s="28">
        <f>'Proddata fra skoghåndbok'!I$13*1*M$15*$E26</f>
        <v>15776.000000000002</v>
      </c>
      <c r="N26" s="28">
        <f>'Proddata fra skoghåndbok'!J$13*1*N$15*$E26</f>
        <v>15776.000000000002</v>
      </c>
      <c r="O26" s="28">
        <f>'Proddata fra skoghåndbok'!K$13*1*O$15*$E26</f>
        <v>15776.000000000002</v>
      </c>
      <c r="P26" s="28">
        <f>'Proddata fra skoghåndbok'!L$13*1*P$15*$E26</f>
        <v>15776.000000000002</v>
      </c>
      <c r="Q26" s="28">
        <f>'Proddata fra skoghåndbok'!N$13*1*Q$15*$E26</f>
        <v>15776.000000000002</v>
      </c>
    </row>
    <row r="27" spans="1:27" x14ac:dyDescent="0.25">
      <c r="E27">
        <f t="shared" si="6"/>
        <v>220</v>
      </c>
      <c r="G27" s="28">
        <f>'Proddata fra skoghåndbok'!C$13*1*G$15*$E27</f>
        <v>279.84000000000003</v>
      </c>
      <c r="H27" s="28">
        <f>'Proddata fra skoghåndbok'!D$13*1*H$15*$E27</f>
        <v>1372.8</v>
      </c>
      <c r="I27" s="28">
        <f>'Proddata fra skoghåndbok'!E$13*1*I$15*$E27</f>
        <v>2904.0000000000005</v>
      </c>
      <c r="J27" s="28">
        <f>'Proddata fra skoghåndbok'!F$13*1*J$15*$E27</f>
        <v>5051.2</v>
      </c>
      <c r="K27" s="28">
        <f>'Proddata fra skoghåndbok'!G$13*1*K$15*$E27</f>
        <v>7180.8</v>
      </c>
      <c r="L27" s="28">
        <f>'Proddata fra skoghåndbok'!H$13*1*L$15*$E27</f>
        <v>10208.000000000002</v>
      </c>
      <c r="M27" s="28">
        <f>'Proddata fra skoghåndbok'!I$13*1*M$15*$E27</f>
        <v>11968.000000000002</v>
      </c>
      <c r="N27" s="28">
        <f>'Proddata fra skoghåndbok'!J$13*1*N$15*$E27</f>
        <v>11968.000000000002</v>
      </c>
      <c r="O27" s="28">
        <f>'Proddata fra skoghåndbok'!K$13*1*O$15*$E27</f>
        <v>11968.000000000002</v>
      </c>
      <c r="P27" s="28">
        <f>'Proddata fra skoghåndbok'!L$13*1*P$15*$E27</f>
        <v>11968.000000000002</v>
      </c>
      <c r="Q27" s="28">
        <f>'Proddata fra skoghåndbok'!N$13*1*Q$15*$E27</f>
        <v>11968.000000000002</v>
      </c>
    </row>
    <row r="30" spans="1:27" x14ac:dyDescent="0.25">
      <c r="C30" t="s">
        <v>125</v>
      </c>
      <c r="F30">
        <v>0</v>
      </c>
      <c r="G30">
        <f>F30+10</f>
        <v>10</v>
      </c>
      <c r="H30">
        <f t="shared" ref="H30:AA30" si="7">G30+10</f>
        <v>20</v>
      </c>
      <c r="I30">
        <f t="shared" si="7"/>
        <v>30</v>
      </c>
      <c r="J30">
        <f t="shared" si="7"/>
        <v>40</v>
      </c>
      <c r="K30">
        <f t="shared" si="7"/>
        <v>50</v>
      </c>
      <c r="L30">
        <f t="shared" si="7"/>
        <v>60</v>
      </c>
      <c r="M30">
        <f t="shared" si="7"/>
        <v>70</v>
      </c>
      <c r="N30">
        <f t="shared" si="7"/>
        <v>80</v>
      </c>
      <c r="O30">
        <f t="shared" si="7"/>
        <v>90</v>
      </c>
      <c r="P30">
        <f t="shared" si="7"/>
        <v>100</v>
      </c>
      <c r="Q30">
        <f>P30+10</f>
        <v>110</v>
      </c>
      <c r="R30">
        <f t="shared" si="7"/>
        <v>120</v>
      </c>
      <c r="S30">
        <f t="shared" si="7"/>
        <v>130</v>
      </c>
      <c r="T30">
        <f t="shared" si="7"/>
        <v>140</v>
      </c>
      <c r="U30">
        <f t="shared" si="7"/>
        <v>150</v>
      </c>
      <c r="V30">
        <f t="shared" si="7"/>
        <v>160</v>
      </c>
      <c r="W30">
        <f t="shared" si="7"/>
        <v>170</v>
      </c>
      <c r="X30">
        <f t="shared" si="7"/>
        <v>180</v>
      </c>
      <c r="Y30">
        <f t="shared" si="7"/>
        <v>190</v>
      </c>
      <c r="Z30">
        <f t="shared" si="7"/>
        <v>200</v>
      </c>
      <c r="AA30">
        <f t="shared" si="7"/>
        <v>210</v>
      </c>
    </row>
    <row r="31" spans="1:27" x14ac:dyDescent="0.25">
      <c r="D31">
        <v>11</v>
      </c>
      <c r="E31">
        <v>0</v>
      </c>
      <c r="F31" s="11">
        <f>IFERROR(INDEX('Proddata fra skoghåndbok'!$B$13:$N$17,MATCH($D31,'Proddata fra skoghåndbok'!$A$13:$A$17,),MATCH(F$30,'Proddata fra skoghåndbok'!$B$12:$N$12,)),E31)</f>
        <v>0</v>
      </c>
      <c r="G31" s="11">
        <f>IFERROR(INDEX('Proddata fra skoghåndbok'!$B$13:$N$17,MATCH($D31,'Proddata fra skoghåndbok'!$A$13:$A$17,),MATCH(G$30,'Proddata fra skoghåndbok'!$B$12:$N$12,)),F31)</f>
        <v>0</v>
      </c>
      <c r="H31" s="11">
        <f>IFERROR(INDEX('Proddata fra skoghåndbok'!$B$13:$N$17,MATCH($D31,'Proddata fra skoghåndbok'!$A$13:$A$17,),MATCH(H$30,'Proddata fra skoghåndbok'!$B$12:$N$12,)),G31)</f>
        <v>0</v>
      </c>
      <c r="I31" s="11">
        <f>IFERROR(INDEX('Proddata fra skoghåndbok'!$B$13:$N$17,MATCH($D31,'Proddata fra skoghåndbok'!$A$13:$A$17,),MATCH(I$30,'Proddata fra skoghåndbok'!$B$12:$N$12,)),H31)</f>
        <v>0</v>
      </c>
      <c r="J31" s="11">
        <f>IFERROR(INDEX('Proddata fra skoghåndbok'!$B$13:$N$17,MATCH($D31,'Proddata fra skoghåndbok'!$A$13:$A$17,),MATCH(J$30,'Proddata fra skoghåndbok'!$B$12:$N$12,)),I31)</f>
        <v>4.08</v>
      </c>
      <c r="K31" s="11">
        <f>IFERROR(INDEX('Proddata fra skoghåndbok'!$B$13:$N$17,MATCH($D31,'Proddata fra skoghåndbok'!$A$13:$A$17,),MATCH(K$30,'Proddata fra skoghåndbok'!$B$12:$N$12,)),J31)</f>
        <v>7.0400000000000009</v>
      </c>
      <c r="L31" s="11">
        <f>IFERROR(INDEX('Proddata fra skoghåndbok'!$B$13:$N$17,MATCH($D31,'Proddata fra skoghåndbok'!$A$13:$A$17,),MATCH(L$30,'Proddata fra skoghåndbok'!$B$12:$N$12,)),K31)</f>
        <v>8.8000000000000007</v>
      </c>
      <c r="M31" s="11">
        <f>IFERROR(INDEX('Proddata fra skoghåndbok'!$B$13:$N$17,MATCH($D31,'Proddata fra skoghåndbok'!$A$13:$A$17,),MATCH(M$30,'Proddata fra skoghåndbok'!$B$12:$N$12,)),L31)</f>
        <v>11.200000000000001</v>
      </c>
      <c r="N31" s="11">
        <f>IFERROR(INDEX('Proddata fra skoghåndbok'!$B$13:$N$17,MATCH($D31,'Proddata fra skoghåndbok'!$A$13:$A$17,),MATCH(N$30,'Proddata fra skoghåndbok'!$B$12:$N$12,)),M31)</f>
        <v>14.8</v>
      </c>
      <c r="O31" s="11">
        <f>IFERROR(INDEX('Proddata fra skoghåndbok'!$B$13:$N$17,MATCH($D31,'Proddata fra skoghåndbok'!$A$13:$A$17,),MATCH(O$30,'Proddata fra skoghåndbok'!$B$12:$N$12,)),N31)</f>
        <v>12.8</v>
      </c>
      <c r="P31" s="11">
        <f>IFERROR(INDEX('Proddata fra skoghåndbok'!$B$13:$N$17,MATCH($D31,'Proddata fra skoghåndbok'!$A$13:$A$17,),MATCH(P$30,'Proddata fra skoghåndbok'!$B$12:$N$12,)),O31)</f>
        <v>16</v>
      </c>
      <c r="Q31" s="11">
        <f>IFERROR(INDEX('Proddata fra skoghåndbok'!$B$13:$N$17,MATCH($D31,'Proddata fra skoghåndbok'!$A$13:$A$17,),MATCH(Q$30,'Proddata fra skoghåndbok'!$B$12:$N$12,)),P31)</f>
        <v>19.200000000000003</v>
      </c>
      <c r="R31" s="11">
        <f>IFERROR(INDEX('Proddata fra skoghåndbok'!$B$13:$N$17,MATCH($D31,'Proddata fra skoghåndbok'!$A$13:$A$17,),MATCH(R$30,'Proddata fra skoghåndbok'!$B$12:$N$12,)),Q31)</f>
        <v>21.6</v>
      </c>
      <c r="S31" s="11">
        <f>IFERROR(INDEX('Proddata fra skoghåndbok'!$B$13:$N$17,MATCH($D31,'Proddata fra skoghåndbok'!$A$13:$A$17,),MATCH(S$30,'Proddata fra skoghåndbok'!$B$12:$N$12,)),R31)</f>
        <v>23.6</v>
      </c>
      <c r="T31" s="11">
        <f>IFERROR(INDEX('Proddata fra skoghåndbok'!$B$13:$N$17,MATCH($D31,'Proddata fra skoghåndbok'!$A$13:$A$17,),MATCH(T$30,'Proddata fra skoghåndbok'!$B$12:$N$12,)),S31)</f>
        <v>25.6</v>
      </c>
      <c r="U31" s="11">
        <f>IFERROR(INDEX('Proddata fra skoghåndbok'!$B$13:$N$17,MATCH($D31,'Proddata fra skoghåndbok'!$A$13:$A$17,),MATCH(U$30,'Proddata fra skoghåndbok'!$B$12:$N$12,)),T31)</f>
        <v>25.6</v>
      </c>
      <c r="V31" s="11">
        <f>IFERROR(INDEX('Proddata fra skoghåndbok'!$B$13:$N$17,MATCH($D31,'Proddata fra skoghåndbok'!$A$13:$A$17,),MATCH(V$30,'Proddata fra skoghåndbok'!$B$12:$N$12,)),U31)</f>
        <v>25.6</v>
      </c>
      <c r="W31" s="11">
        <f>IFERROR(INDEX('Proddata fra skoghåndbok'!$B$13:$N$17,MATCH($D31,'Proddata fra skoghåndbok'!$A$13:$A$17,),MATCH(W$30,'Proddata fra skoghåndbok'!$B$12:$N$12,)),V31)</f>
        <v>25.6</v>
      </c>
      <c r="X31" s="11">
        <f>IFERROR(INDEX('Proddata fra skoghåndbok'!$B$13:$N$17,MATCH($D31,'Proddata fra skoghåndbok'!$A$13:$A$17,),MATCH(X$30,'Proddata fra skoghåndbok'!$B$12:$N$12,)),W31)</f>
        <v>25.6</v>
      </c>
      <c r="Y31" s="11">
        <f>IFERROR(INDEX('Proddata fra skoghåndbok'!$B$13:$N$17,MATCH($D31,'Proddata fra skoghåndbok'!$A$13:$A$17,),MATCH(Y$30,'Proddata fra skoghåndbok'!$B$12:$N$12,)),X31)</f>
        <v>25.6</v>
      </c>
      <c r="Z31" s="11">
        <f>IFERROR(INDEX('Proddata fra skoghåndbok'!$B$13:$N$17,MATCH($D31,'Proddata fra skoghåndbok'!$A$13:$A$17,),MATCH(Z$30,'Proddata fra skoghåndbok'!$B$12:$N$12,)),Y31)</f>
        <v>25.6</v>
      </c>
      <c r="AA31" s="11">
        <f>IFERROR(INDEX('Proddata fra skoghåndbok'!$B$13:$N$17,MATCH($D31,'Proddata fra skoghåndbok'!$A$13:$A$17,),MATCH(AA$30,'Proddata fra skoghåndbok'!$B$12:$N$12,)),Z31)</f>
        <v>25.6</v>
      </c>
    </row>
    <row r="32" spans="1:27" x14ac:dyDescent="0.25">
      <c r="D32">
        <f>D31+3</f>
        <v>14</v>
      </c>
      <c r="E32">
        <v>0</v>
      </c>
      <c r="F32" s="11">
        <f>IFERROR(INDEX('Proddata fra skoghåndbok'!$B$13:$N$17,MATCH($D32,'Proddata fra skoghåndbok'!$A$13:$A$17,),MATCH(F$30,'Proddata fra skoghåndbok'!$B$12:$N$12,)),E32)</f>
        <v>0</v>
      </c>
      <c r="G32" s="11">
        <f>IFERROR(INDEX('Proddata fra skoghåndbok'!$B$13:$N$17,MATCH($D32,'Proddata fra skoghåndbok'!$A$13:$A$17,),MATCH(G$30,'Proddata fra skoghåndbok'!$B$12:$N$12,)),F32)</f>
        <v>0</v>
      </c>
      <c r="H32" s="11">
        <f>IFERROR(INDEX('Proddata fra skoghåndbok'!$B$13:$N$17,MATCH($D32,'Proddata fra skoghåndbok'!$A$13:$A$17,),MATCH(H$30,'Proddata fra skoghåndbok'!$B$12:$N$12,)),G32)</f>
        <v>0</v>
      </c>
      <c r="I32" s="11">
        <f>IFERROR(INDEX('Proddata fra skoghåndbok'!$B$13:$N$17,MATCH($D32,'Proddata fra skoghåndbok'!$A$13:$A$17,),MATCH(I$30,'Proddata fra skoghåndbok'!$B$12:$N$12,)),H32)</f>
        <v>4</v>
      </c>
      <c r="J32" s="11">
        <f>IFERROR(INDEX('Proddata fra skoghåndbok'!$B$13:$N$17,MATCH($D32,'Proddata fra skoghåndbok'!$A$13:$A$17,),MATCH(J$30,'Proddata fra skoghåndbok'!$B$12:$N$12,)),I32)</f>
        <v>8</v>
      </c>
      <c r="K32" s="11">
        <f>IFERROR(INDEX('Proddata fra skoghåndbok'!$B$13:$N$17,MATCH($D32,'Proddata fra skoghåndbok'!$A$13:$A$17,),MATCH(K$30,'Proddata fra skoghåndbok'!$B$12:$N$12,)),J32)</f>
        <v>12</v>
      </c>
      <c r="L32" s="11">
        <f>IFERROR(INDEX('Proddata fra skoghåndbok'!$B$13:$N$17,MATCH($D32,'Proddata fra skoghåndbok'!$A$13:$A$17,),MATCH(L$30,'Proddata fra skoghåndbok'!$B$12:$N$12,)),K32)</f>
        <v>17.2</v>
      </c>
      <c r="M32" s="11">
        <f>IFERROR(INDEX('Proddata fra skoghåndbok'!$B$13:$N$17,MATCH($D32,'Proddata fra skoghåndbok'!$A$13:$A$17,),MATCH(M$30,'Proddata fra skoghåndbok'!$B$12:$N$12,)),L32)</f>
        <v>17.919999999999998</v>
      </c>
      <c r="N32" s="11">
        <f>IFERROR(INDEX('Proddata fra skoghåndbok'!$B$13:$N$17,MATCH($D32,'Proddata fra skoghåndbok'!$A$13:$A$17,),MATCH(N$30,'Proddata fra skoghåndbok'!$B$12:$N$12,)),M32)</f>
        <v>22.400000000000002</v>
      </c>
      <c r="O32" s="11">
        <f>IFERROR(INDEX('Proddata fra skoghåndbok'!$B$13:$N$17,MATCH($D32,'Proddata fra skoghåndbok'!$A$13:$A$17,),MATCH(O$30,'Proddata fra skoghåndbok'!$B$12:$N$12,)),N32)</f>
        <v>21.44</v>
      </c>
      <c r="P32" s="11">
        <f>IFERROR(INDEX('Proddata fra skoghåndbok'!$B$13:$N$17,MATCH($D32,'Proddata fra skoghåndbok'!$A$13:$A$17,),MATCH(P$30,'Proddata fra skoghåndbok'!$B$12:$N$12,)),O32)</f>
        <v>25.52</v>
      </c>
      <c r="Q32" s="11">
        <f>IFERROR(INDEX('Proddata fra skoghåndbok'!$B$13:$N$17,MATCH($D32,'Proddata fra skoghåndbok'!$A$13:$A$17,),MATCH(Q$30,'Proddata fra skoghåndbok'!$B$12:$N$12,)),P32)</f>
        <v>28.72</v>
      </c>
      <c r="R32" s="11">
        <f>IFERROR(INDEX('Proddata fra skoghåndbok'!$B$13:$N$17,MATCH($D32,'Proddata fra skoghåndbok'!$A$13:$A$17,),MATCH(R$30,'Proddata fra skoghåndbok'!$B$12:$N$12,)),Q32)</f>
        <v>28.72</v>
      </c>
      <c r="S32" s="11">
        <f>IFERROR(INDEX('Proddata fra skoghåndbok'!$B$13:$N$17,MATCH($D32,'Proddata fra skoghåndbok'!$A$13:$A$17,),MATCH(S$30,'Proddata fra skoghåndbok'!$B$12:$N$12,)),R32)</f>
        <v>28.72</v>
      </c>
      <c r="T32" s="11">
        <f>IFERROR(INDEX('Proddata fra skoghåndbok'!$B$13:$N$17,MATCH($D32,'Proddata fra skoghåndbok'!$A$13:$A$17,),MATCH(T$30,'Proddata fra skoghåndbok'!$B$12:$N$12,)),S32)</f>
        <v>28.72</v>
      </c>
      <c r="U32" s="11">
        <f>IFERROR(INDEX('Proddata fra skoghåndbok'!$B$13:$N$17,MATCH($D32,'Proddata fra skoghåndbok'!$A$13:$A$17,),MATCH(U$30,'Proddata fra skoghåndbok'!$B$12:$N$12,)),T32)</f>
        <v>28.72</v>
      </c>
      <c r="V32" s="11">
        <f>IFERROR(INDEX('Proddata fra skoghåndbok'!$B$13:$N$17,MATCH($D32,'Proddata fra skoghåndbok'!$A$13:$A$17,),MATCH(V$30,'Proddata fra skoghåndbok'!$B$12:$N$12,)),U32)</f>
        <v>28.72</v>
      </c>
      <c r="W32" s="11">
        <f>IFERROR(INDEX('Proddata fra skoghåndbok'!$B$13:$N$17,MATCH($D32,'Proddata fra skoghåndbok'!$A$13:$A$17,),MATCH(W$30,'Proddata fra skoghåndbok'!$B$12:$N$12,)),V32)</f>
        <v>28.72</v>
      </c>
      <c r="X32" s="11">
        <f>IFERROR(INDEX('Proddata fra skoghåndbok'!$B$13:$N$17,MATCH($D32,'Proddata fra skoghåndbok'!$A$13:$A$17,),MATCH(X$30,'Proddata fra skoghåndbok'!$B$12:$N$12,)),W32)</f>
        <v>28.72</v>
      </c>
      <c r="Y32" s="11">
        <f>IFERROR(INDEX('Proddata fra skoghåndbok'!$B$13:$N$17,MATCH($D32,'Proddata fra skoghåndbok'!$A$13:$A$17,),MATCH(Y$30,'Proddata fra skoghåndbok'!$B$12:$N$12,)),X32)</f>
        <v>28.72</v>
      </c>
      <c r="Z32" s="11">
        <f>IFERROR(INDEX('Proddata fra skoghåndbok'!$B$13:$N$17,MATCH($D32,'Proddata fra skoghåndbok'!$A$13:$A$17,),MATCH(Z$30,'Proddata fra skoghåndbok'!$B$12:$N$12,)),Y32)</f>
        <v>28.72</v>
      </c>
      <c r="AA32" s="11">
        <f>IFERROR(INDEX('Proddata fra skoghåndbok'!$B$13:$N$17,MATCH($D32,'Proddata fra skoghåndbok'!$A$13:$A$17,),MATCH(AA$30,'Proddata fra skoghåndbok'!$B$12:$N$12,)),Z32)</f>
        <v>28.72</v>
      </c>
    </row>
    <row r="33" spans="4:27" x14ac:dyDescent="0.25">
      <c r="D33">
        <f t="shared" ref="D33:D34" si="8">D32+3</f>
        <v>17</v>
      </c>
      <c r="E33">
        <v>0</v>
      </c>
      <c r="F33" s="11">
        <f>IFERROR(INDEX('Proddata fra skoghåndbok'!$B$13:$N$17,MATCH($D33,'Proddata fra skoghåndbok'!$A$13:$A$17,),MATCH(F$30,'Proddata fra skoghåndbok'!$B$12:$N$12,)),E33)</f>
        <v>0</v>
      </c>
      <c r="G33" s="11">
        <f>IFERROR(INDEX('Proddata fra skoghåndbok'!$B$13:$N$17,MATCH($D33,'Proddata fra skoghåndbok'!$A$13:$A$17,),MATCH(G$30,'Proddata fra skoghåndbok'!$B$12:$N$12,)),F33)</f>
        <v>0</v>
      </c>
      <c r="H33" s="11">
        <f>IFERROR(INDEX('Proddata fra skoghåndbok'!$B$13:$N$17,MATCH($D33,'Proddata fra skoghåndbok'!$A$13:$A$17,),MATCH(H$30,'Proddata fra skoghåndbok'!$B$12:$N$12,)),G33)</f>
        <v>4.8000000000000007</v>
      </c>
      <c r="I33" s="11">
        <f>IFERROR(INDEX('Proddata fra skoghåndbok'!$B$13:$N$17,MATCH($D33,'Proddata fra skoghåndbok'!$A$13:$A$17,),MATCH(I$30,'Proddata fra skoghåndbok'!$B$12:$N$12,)),H33)</f>
        <v>6.96</v>
      </c>
      <c r="J33" s="11">
        <f>IFERROR(INDEX('Proddata fra skoghåndbok'!$B$13:$N$17,MATCH($D33,'Proddata fra skoghåndbok'!$A$13:$A$17,),MATCH(J$30,'Proddata fra skoghåndbok'!$B$12:$N$12,)),I33)</f>
        <v>12.96</v>
      </c>
      <c r="K33" s="11">
        <f>IFERROR(INDEX('Proddata fra skoghåndbok'!$B$13:$N$17,MATCH($D33,'Proddata fra skoghåndbok'!$A$13:$A$17,),MATCH(K$30,'Proddata fra skoghåndbok'!$B$12:$N$12,)),J33)</f>
        <v>17.12</v>
      </c>
      <c r="L33" s="11">
        <f>IFERROR(INDEX('Proddata fra skoghåndbok'!$B$13:$N$17,MATCH($D33,'Proddata fra skoghåndbok'!$A$13:$A$17,),MATCH(L$30,'Proddata fra skoghåndbok'!$B$12:$N$12,)),K33)</f>
        <v>18.400000000000002</v>
      </c>
      <c r="M33" s="11">
        <f>IFERROR(INDEX('Proddata fra skoghåndbok'!$B$13:$N$17,MATCH($D33,'Proddata fra skoghåndbok'!$A$13:$A$17,),MATCH(M$30,'Proddata fra skoghåndbok'!$B$12:$N$12,)),L33)</f>
        <v>25.28</v>
      </c>
      <c r="N33" s="11">
        <f>IFERROR(INDEX('Proddata fra skoghåndbok'!$B$13:$N$17,MATCH($D33,'Proddata fra skoghåndbok'!$A$13:$A$17,),MATCH(N$30,'Proddata fra skoghåndbok'!$B$12:$N$12,)),M33)</f>
        <v>30.8</v>
      </c>
      <c r="O33" s="11">
        <f>IFERROR(INDEX('Proddata fra skoghåndbok'!$B$13:$N$17,MATCH($D33,'Proddata fra skoghåndbok'!$A$13:$A$17,),MATCH(O$30,'Proddata fra skoghåndbok'!$B$12:$N$12,)),N33)</f>
        <v>36.24</v>
      </c>
      <c r="P33" s="11">
        <f>IFERROR(INDEX('Proddata fra skoghåndbok'!$B$13:$N$17,MATCH($D33,'Proddata fra skoghåndbok'!$A$13:$A$17,),MATCH(P$30,'Proddata fra skoghåndbok'!$B$12:$N$12,)),O33)</f>
        <v>41.44</v>
      </c>
      <c r="Q33" s="11">
        <f>IFERROR(INDEX('Proddata fra skoghåndbok'!$B$13:$N$17,MATCH($D33,'Proddata fra skoghåndbok'!$A$13:$A$17,),MATCH(Q$30,'Proddata fra skoghåndbok'!$B$12:$N$12,)),P33)</f>
        <v>41.44</v>
      </c>
      <c r="R33" s="11">
        <f>IFERROR(INDEX('Proddata fra skoghåndbok'!$B$13:$N$17,MATCH($D33,'Proddata fra skoghåndbok'!$A$13:$A$17,),MATCH(R$30,'Proddata fra skoghåndbok'!$B$12:$N$12,)),Q33)</f>
        <v>41.44</v>
      </c>
      <c r="S33" s="11">
        <f>IFERROR(INDEX('Proddata fra skoghåndbok'!$B$13:$N$17,MATCH($D33,'Proddata fra skoghåndbok'!$A$13:$A$17,),MATCH(S$30,'Proddata fra skoghåndbok'!$B$12:$N$12,)),R33)</f>
        <v>41.44</v>
      </c>
      <c r="T33" s="11">
        <f>IFERROR(INDEX('Proddata fra skoghåndbok'!$B$13:$N$17,MATCH($D33,'Proddata fra skoghåndbok'!$A$13:$A$17,),MATCH(T$30,'Proddata fra skoghåndbok'!$B$12:$N$12,)),S33)</f>
        <v>41.44</v>
      </c>
      <c r="U33" s="11">
        <f>IFERROR(INDEX('Proddata fra skoghåndbok'!$B$13:$N$17,MATCH($D33,'Proddata fra skoghåndbok'!$A$13:$A$17,),MATCH(U$30,'Proddata fra skoghåndbok'!$B$12:$N$12,)),T33)</f>
        <v>41.44</v>
      </c>
      <c r="V33" s="11">
        <f>IFERROR(INDEX('Proddata fra skoghåndbok'!$B$13:$N$17,MATCH($D33,'Proddata fra skoghåndbok'!$A$13:$A$17,),MATCH(V$30,'Proddata fra skoghåndbok'!$B$12:$N$12,)),U33)</f>
        <v>41.44</v>
      </c>
      <c r="W33" s="11">
        <f>IFERROR(INDEX('Proddata fra skoghåndbok'!$B$13:$N$17,MATCH($D33,'Proddata fra skoghåndbok'!$A$13:$A$17,),MATCH(W$30,'Proddata fra skoghåndbok'!$B$12:$N$12,)),V33)</f>
        <v>41.44</v>
      </c>
      <c r="X33" s="11">
        <f>IFERROR(INDEX('Proddata fra skoghåndbok'!$B$13:$N$17,MATCH($D33,'Proddata fra skoghåndbok'!$A$13:$A$17,),MATCH(X$30,'Proddata fra skoghåndbok'!$B$12:$N$12,)),W33)</f>
        <v>41.44</v>
      </c>
      <c r="Y33" s="11">
        <f>IFERROR(INDEX('Proddata fra skoghåndbok'!$B$13:$N$17,MATCH($D33,'Proddata fra skoghåndbok'!$A$13:$A$17,),MATCH(Y$30,'Proddata fra skoghåndbok'!$B$12:$N$12,)),X33)</f>
        <v>41.44</v>
      </c>
      <c r="Z33" s="11">
        <f>IFERROR(INDEX('Proddata fra skoghåndbok'!$B$13:$N$17,MATCH($D33,'Proddata fra skoghåndbok'!$A$13:$A$17,),MATCH(Z$30,'Proddata fra skoghåndbok'!$B$12:$N$12,)),Y33)</f>
        <v>41.44</v>
      </c>
      <c r="AA33" s="11">
        <f>IFERROR(INDEX('Proddata fra skoghåndbok'!$B$13:$N$17,MATCH($D33,'Proddata fra skoghåndbok'!$A$13:$A$17,),MATCH(AA$30,'Proddata fra skoghåndbok'!$B$12:$N$12,)),Z33)</f>
        <v>41.44</v>
      </c>
    </row>
    <row r="34" spans="4:27" x14ac:dyDescent="0.25">
      <c r="D34">
        <f t="shared" si="8"/>
        <v>20</v>
      </c>
      <c r="E34">
        <v>0</v>
      </c>
      <c r="F34" s="11">
        <f>IFERROR(INDEX('Proddata fra skoghåndbok'!$B$13:$N$17,MATCH($D34,'Proddata fra skoghåndbok'!$A$13:$A$17,),MATCH(F$30,'Proddata fra skoghåndbok'!$B$12:$N$12,)),E34)</f>
        <v>0</v>
      </c>
      <c r="G34" s="11">
        <f>IFERROR(INDEX('Proddata fra skoghåndbok'!$B$13:$N$17,MATCH($D34,'Proddata fra skoghåndbok'!$A$13:$A$17,),MATCH(G$30,'Proddata fra skoghåndbok'!$B$12:$N$12,)),F34)</f>
        <v>0</v>
      </c>
      <c r="H34" s="11">
        <f>IFERROR(INDEX('Proddata fra skoghåndbok'!$B$13:$N$17,MATCH($D34,'Proddata fra skoghåndbok'!$A$13:$A$17,),MATCH(H$30,'Proddata fra skoghåndbok'!$B$12:$N$12,)),G34)</f>
        <v>5.04</v>
      </c>
      <c r="I34" s="11">
        <f>IFERROR(INDEX('Proddata fra skoghåndbok'!$B$13:$N$17,MATCH($D34,'Proddata fra skoghåndbok'!$A$13:$A$17,),MATCH(I$30,'Proddata fra skoghåndbok'!$B$12:$N$12,)),H34)</f>
        <v>12.72</v>
      </c>
      <c r="J34" s="11">
        <f>IFERROR(INDEX('Proddata fra skoghåndbok'!$B$13:$N$17,MATCH($D34,'Proddata fra skoghåndbok'!$A$13:$A$17,),MATCH(J$30,'Proddata fra skoghåndbok'!$B$12:$N$12,)),I34)</f>
        <v>20.8</v>
      </c>
      <c r="K34" s="11">
        <f>IFERROR(INDEX('Proddata fra skoghåndbok'!$B$13:$N$17,MATCH($D34,'Proddata fra skoghåndbok'!$A$13:$A$17,),MATCH(K$30,'Proddata fra skoghåndbok'!$B$12:$N$12,)),J34)</f>
        <v>26.400000000000002</v>
      </c>
      <c r="L34" s="11">
        <f>IFERROR(INDEX('Proddata fra skoghåndbok'!$B$13:$N$17,MATCH($D34,'Proddata fra skoghåndbok'!$A$13:$A$17,),MATCH(L$30,'Proddata fra skoghåndbok'!$B$12:$N$12,)),K34)</f>
        <v>32.800000000000004</v>
      </c>
      <c r="M34" s="11">
        <f>IFERROR(INDEX('Proddata fra skoghåndbok'!$B$13:$N$17,MATCH($D34,'Proddata fra skoghåndbok'!$A$13:$A$17,),MATCH(M$30,'Proddata fra skoghåndbok'!$B$12:$N$12,)),L34)</f>
        <v>38.400000000000006</v>
      </c>
      <c r="N34" s="11">
        <f>IFERROR(INDEX('Proddata fra skoghåndbok'!$B$13:$N$17,MATCH($D34,'Proddata fra skoghåndbok'!$A$13:$A$17,),MATCH(N$30,'Proddata fra skoghåndbok'!$B$12:$N$12,)),M34)</f>
        <v>46.400000000000006</v>
      </c>
      <c r="O34" s="11">
        <f>IFERROR(INDEX('Proddata fra skoghåndbok'!$B$13:$N$17,MATCH($D34,'Proddata fra skoghåndbok'!$A$13:$A$17,),MATCH(O$30,'Proddata fra skoghåndbok'!$B$12:$N$12,)),N34)</f>
        <v>54.400000000000006</v>
      </c>
      <c r="P34" s="11">
        <f>IFERROR(INDEX('Proddata fra skoghåndbok'!$B$13:$N$17,MATCH($D34,'Proddata fra skoghåndbok'!$A$13:$A$17,),MATCH(P$30,'Proddata fra skoghåndbok'!$B$12:$N$12,)),O34)</f>
        <v>54.400000000000006</v>
      </c>
      <c r="Q34" s="11">
        <f>IFERROR(INDEX('Proddata fra skoghåndbok'!$B$13:$N$17,MATCH($D34,'Proddata fra skoghåndbok'!$A$13:$A$17,),MATCH(Q$30,'Proddata fra skoghåndbok'!$B$12:$N$12,)),P34)</f>
        <v>54.400000000000006</v>
      </c>
      <c r="R34" s="11">
        <f>IFERROR(INDEX('Proddata fra skoghåndbok'!$B$13:$N$17,MATCH($D34,'Proddata fra skoghåndbok'!$A$13:$A$17,),MATCH(R$30,'Proddata fra skoghåndbok'!$B$12:$N$12,)),Q34)</f>
        <v>54.400000000000006</v>
      </c>
      <c r="S34" s="11">
        <f>IFERROR(INDEX('Proddata fra skoghåndbok'!$B$13:$N$17,MATCH($D34,'Proddata fra skoghåndbok'!$A$13:$A$17,),MATCH(S$30,'Proddata fra skoghåndbok'!$B$12:$N$12,)),R34)</f>
        <v>54.400000000000006</v>
      </c>
      <c r="T34" s="11">
        <f>IFERROR(INDEX('Proddata fra skoghåndbok'!$B$13:$N$17,MATCH($D34,'Proddata fra skoghåndbok'!$A$13:$A$17,),MATCH(T$30,'Proddata fra skoghåndbok'!$B$12:$N$12,)),S34)</f>
        <v>54.400000000000006</v>
      </c>
      <c r="U34" s="11">
        <f>IFERROR(INDEX('Proddata fra skoghåndbok'!$B$13:$N$17,MATCH($D34,'Proddata fra skoghåndbok'!$A$13:$A$17,),MATCH(U$30,'Proddata fra skoghåndbok'!$B$12:$N$12,)),T34)</f>
        <v>54.400000000000006</v>
      </c>
      <c r="V34" s="11">
        <f>IFERROR(INDEX('Proddata fra skoghåndbok'!$B$13:$N$17,MATCH($D34,'Proddata fra skoghåndbok'!$A$13:$A$17,),MATCH(V$30,'Proddata fra skoghåndbok'!$B$12:$N$12,)),U34)</f>
        <v>54.400000000000006</v>
      </c>
      <c r="W34" s="11">
        <f>IFERROR(INDEX('Proddata fra skoghåndbok'!$B$13:$N$17,MATCH($D34,'Proddata fra skoghåndbok'!$A$13:$A$17,),MATCH(W$30,'Proddata fra skoghåndbok'!$B$12:$N$12,)),V34)</f>
        <v>54.400000000000006</v>
      </c>
      <c r="X34" s="11">
        <f>IFERROR(INDEX('Proddata fra skoghåndbok'!$B$13:$N$17,MATCH($D34,'Proddata fra skoghåndbok'!$A$13:$A$17,),MATCH(X$30,'Proddata fra skoghåndbok'!$B$12:$N$12,)),W34)</f>
        <v>54.400000000000006</v>
      </c>
      <c r="Y34" s="11">
        <f>IFERROR(INDEX('Proddata fra skoghåndbok'!$B$13:$N$17,MATCH($D34,'Proddata fra skoghåndbok'!$A$13:$A$17,),MATCH(Y$30,'Proddata fra skoghåndbok'!$B$12:$N$12,)),X34)</f>
        <v>54.400000000000006</v>
      </c>
      <c r="Z34" s="11">
        <f>IFERROR(INDEX('Proddata fra skoghåndbok'!$B$13:$N$17,MATCH($D34,'Proddata fra skoghåndbok'!$A$13:$A$17,),MATCH(Z$30,'Proddata fra skoghåndbok'!$B$12:$N$12,)),Y34)</f>
        <v>54.400000000000006</v>
      </c>
      <c r="AA34" s="11">
        <f>IFERROR(INDEX('Proddata fra skoghåndbok'!$B$13:$N$17,MATCH($D34,'Proddata fra skoghåndbok'!$A$13:$A$17,),MATCH(AA$30,'Proddata fra skoghåndbok'!$B$12:$N$12,)),Z34)</f>
        <v>54.400000000000006</v>
      </c>
    </row>
    <row r="36" spans="4:27" x14ac:dyDescent="0.25">
      <c r="F36" s="105">
        <v>0</v>
      </c>
      <c r="G36" s="105">
        <f>F36+10</f>
        <v>10</v>
      </c>
      <c r="H36" s="105">
        <f t="shared" ref="H36:AA36" si="9">G36+10</f>
        <v>20</v>
      </c>
      <c r="I36" s="105">
        <f t="shared" si="9"/>
        <v>30</v>
      </c>
      <c r="J36" s="105">
        <f t="shared" si="9"/>
        <v>40</v>
      </c>
      <c r="K36" s="105">
        <f t="shared" si="9"/>
        <v>50</v>
      </c>
      <c r="L36" s="105">
        <f t="shared" si="9"/>
        <v>60</v>
      </c>
      <c r="M36" s="105">
        <f t="shared" si="9"/>
        <v>70</v>
      </c>
      <c r="N36" s="105">
        <f t="shared" si="9"/>
        <v>80</v>
      </c>
      <c r="O36" s="105">
        <f t="shared" si="9"/>
        <v>90</v>
      </c>
      <c r="P36" s="105">
        <f t="shared" si="9"/>
        <v>100</v>
      </c>
      <c r="Q36" s="105">
        <f t="shared" si="9"/>
        <v>110</v>
      </c>
      <c r="R36" s="105">
        <f t="shared" si="9"/>
        <v>120</v>
      </c>
      <c r="S36" s="105">
        <f t="shared" si="9"/>
        <v>130</v>
      </c>
      <c r="T36" s="105">
        <f t="shared" si="9"/>
        <v>140</v>
      </c>
      <c r="U36" s="105">
        <f t="shared" si="9"/>
        <v>150</v>
      </c>
      <c r="V36" s="105">
        <f t="shared" si="9"/>
        <v>160</v>
      </c>
      <c r="W36" s="105">
        <f t="shared" si="9"/>
        <v>170</v>
      </c>
      <c r="X36" s="105">
        <f t="shared" si="9"/>
        <v>180</v>
      </c>
      <c r="Y36" s="105">
        <f t="shared" si="9"/>
        <v>190</v>
      </c>
      <c r="Z36" s="105">
        <f t="shared" si="9"/>
        <v>200</v>
      </c>
      <c r="AA36" s="105">
        <f t="shared" si="9"/>
        <v>210</v>
      </c>
    </row>
    <row r="37" spans="4:27" x14ac:dyDescent="0.25">
      <c r="E37" t="s">
        <v>126</v>
      </c>
      <c r="J37">
        <v>40</v>
      </c>
      <c r="K37">
        <v>0</v>
      </c>
      <c r="L37">
        <f>K37+10</f>
        <v>10</v>
      </c>
      <c r="M37">
        <f t="shared" ref="M37:Y37" si="10">L37+10</f>
        <v>20</v>
      </c>
      <c r="N37">
        <f t="shared" si="10"/>
        <v>30</v>
      </c>
      <c r="O37">
        <f t="shared" si="10"/>
        <v>40</v>
      </c>
      <c r="P37">
        <f t="shared" si="10"/>
        <v>50</v>
      </c>
      <c r="Q37">
        <f t="shared" si="10"/>
        <v>60</v>
      </c>
      <c r="R37">
        <f t="shared" si="10"/>
        <v>70</v>
      </c>
      <c r="S37">
        <f t="shared" si="10"/>
        <v>80</v>
      </c>
      <c r="T37">
        <f t="shared" si="10"/>
        <v>90</v>
      </c>
      <c r="U37">
        <f t="shared" si="10"/>
        <v>100</v>
      </c>
      <c r="V37">
        <f t="shared" si="10"/>
        <v>110</v>
      </c>
      <c r="W37">
        <f t="shared" si="10"/>
        <v>120</v>
      </c>
      <c r="X37">
        <f t="shared" si="10"/>
        <v>130</v>
      </c>
      <c r="Y37">
        <f t="shared" si="10"/>
        <v>140</v>
      </c>
    </row>
    <row r="38" spans="4:27" x14ac:dyDescent="0.25">
      <c r="D38">
        <v>20</v>
      </c>
      <c r="E38">
        <f>SUM(F38:AA38)</f>
        <v>5737.8585924376848</v>
      </c>
      <c r="J38">
        <f>J$34*$E$21*J$15</f>
        <v>3203.2</v>
      </c>
      <c r="T38" s="28">
        <f>(O34*E18)*1/(1+$G$14)^T$37</f>
        <v>2534.658592437685</v>
      </c>
    </row>
    <row r="39" spans="4:27" x14ac:dyDescent="0.25">
      <c r="E39" t="s">
        <v>127</v>
      </c>
      <c r="J39">
        <f>J37</f>
        <v>40</v>
      </c>
      <c r="K39">
        <f>J39+10</f>
        <v>50</v>
      </c>
      <c r="L39">
        <f t="shared" ref="L39:Y39" si="11">K39+10</f>
        <v>60</v>
      </c>
      <c r="M39">
        <f t="shared" si="11"/>
        <v>70</v>
      </c>
      <c r="N39">
        <f t="shared" si="11"/>
        <v>80</v>
      </c>
      <c r="O39">
        <f t="shared" si="11"/>
        <v>90</v>
      </c>
      <c r="P39">
        <v>0</v>
      </c>
      <c r="Q39">
        <f t="shared" si="11"/>
        <v>10</v>
      </c>
      <c r="R39">
        <f t="shared" si="11"/>
        <v>20</v>
      </c>
      <c r="S39">
        <f t="shared" si="11"/>
        <v>30</v>
      </c>
      <c r="T39">
        <f t="shared" si="11"/>
        <v>40</v>
      </c>
      <c r="U39">
        <f t="shared" si="11"/>
        <v>50</v>
      </c>
      <c r="V39">
        <f t="shared" si="11"/>
        <v>60</v>
      </c>
      <c r="W39">
        <f t="shared" si="11"/>
        <v>70</v>
      </c>
      <c r="X39">
        <f t="shared" si="11"/>
        <v>80</v>
      </c>
      <c r="Y39">
        <f t="shared" si="11"/>
        <v>90</v>
      </c>
    </row>
    <row r="40" spans="4:27" x14ac:dyDescent="0.25">
      <c r="D40">
        <v>20</v>
      </c>
      <c r="E40">
        <f>SUM(J40:AA40)</f>
        <v>4425.9808256243023</v>
      </c>
      <c r="O40" s="27">
        <f>O$34*$E$21*O$15*1/(1+$G$14)^(T$37-J39)</f>
        <v>3481.996345181733</v>
      </c>
      <c r="X40">
        <f>(P34*E18)*1/(1+$G$14)^X$37</f>
        <v>943.98448044256941</v>
      </c>
      <c r="Y40" s="27"/>
    </row>
    <row r="41" spans="4:27" x14ac:dyDescent="0.25">
      <c r="Y41" s="10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B1:M41"/>
  <sheetViews>
    <sheetView workbookViewId="0">
      <selection activeCell="X41" sqref="X41"/>
    </sheetView>
  </sheetViews>
  <sheetFormatPr baseColWidth="10" defaultColWidth="9.140625" defaultRowHeight="15" x14ac:dyDescent="0.25"/>
  <cols>
    <col min="2" max="2" width="9.85546875" bestFit="1" customWidth="1"/>
    <col min="3" max="6" width="20.42578125" customWidth="1"/>
    <col min="7" max="7" width="14.140625" customWidth="1"/>
    <col min="8" max="8" width="9.42578125" bestFit="1" customWidth="1"/>
    <col min="9" max="9" width="11.85546875" bestFit="1" customWidth="1"/>
    <col min="10" max="10" width="9.42578125" bestFit="1" customWidth="1"/>
    <col min="11" max="11" width="10.5703125" bestFit="1" customWidth="1"/>
  </cols>
  <sheetData>
    <row r="1" spans="2:13" x14ac:dyDescent="0.25">
      <c r="B1" t="s">
        <v>77</v>
      </c>
      <c r="C1">
        <v>17</v>
      </c>
      <c r="D1" t="s">
        <v>85</v>
      </c>
      <c r="E1" s="25">
        <v>0.05</v>
      </c>
    </row>
    <row r="2" spans="2:13" ht="90" x14ac:dyDescent="0.25">
      <c r="B2" t="s">
        <v>75</v>
      </c>
      <c r="C2" s="10" t="s">
        <v>79</v>
      </c>
      <c r="D2" s="10" t="s">
        <v>80</v>
      </c>
      <c r="E2" s="10" t="s">
        <v>76</v>
      </c>
      <c r="F2" s="10" t="s">
        <v>78</v>
      </c>
      <c r="G2" s="10" t="s">
        <v>81</v>
      </c>
      <c r="H2" s="10" t="s">
        <v>82</v>
      </c>
      <c r="I2" s="10" t="s">
        <v>83</v>
      </c>
      <c r="J2" s="10" t="s">
        <v>84</v>
      </c>
      <c r="K2" s="10" t="s">
        <v>88</v>
      </c>
      <c r="L2" s="10" t="s">
        <v>86</v>
      </c>
    </row>
    <row r="3" spans="2:13" x14ac:dyDescent="0.25">
      <c r="B3">
        <v>10</v>
      </c>
      <c r="C3" s="28">
        <f>IFERROR(INDEX('Proddata fra skoghåndbok'!$B$13:$N$17,MATCH($C$1,'Proddata fra skoghåndbok'!$A$13:$A$17,0),MATCH($B3,'Proddata fra skoghåndbok'!$B$12:$N$12))*10,0)</f>
        <v>0</v>
      </c>
      <c r="D3" s="12">
        <v>0</v>
      </c>
      <c r="E3" s="28">
        <v>0</v>
      </c>
      <c r="F3" s="28"/>
      <c r="G3" s="28"/>
      <c r="I3" s="28"/>
      <c r="J3" s="28">
        <f>I3*$E$1</f>
        <v>0</v>
      </c>
      <c r="K3" s="30">
        <f>$J$19+H3</f>
        <v>319.36172073370034</v>
      </c>
      <c r="L3" s="26">
        <f t="shared" ref="L3:L15" si="0">C3/B3</f>
        <v>0</v>
      </c>
    </row>
    <row r="4" spans="2:13" x14ac:dyDescent="0.25">
      <c r="B4">
        <f>B3+10</f>
        <v>20</v>
      </c>
      <c r="C4" s="28">
        <f>IFERROR(INDEX('Proddata fra skoghåndbok'!$B$13:$N$17,MATCH($C$1,'Proddata fra skoghåndbok'!$A$13:$A$17,0),MATCH($B4,'Proddata fra skoghåndbok'!$B$12:$N$12))*10,0)</f>
        <v>48.000000000000007</v>
      </c>
      <c r="D4" s="12">
        <f>INDEX('Proddata fra skoghåndbok'!$B$20:$N$23,MATCH($C$1,'Proddata fra skoghåndbok'!$A$13:$A$17,),MATCH($B4,'Proddata fra skoghåndbok'!$B$12:$N$12))</f>
        <v>0</v>
      </c>
      <c r="E4" s="28">
        <f>Kalkulator!$B$38*D4+(1-D4)*Kalkulator!$B$39</f>
        <v>220</v>
      </c>
      <c r="F4" s="28">
        <f>C4*E4</f>
        <v>10560.000000000002</v>
      </c>
      <c r="G4" s="28"/>
      <c r="H4" s="28">
        <f>F4*$E$1</f>
        <v>528.00000000000011</v>
      </c>
      <c r="I4" s="28">
        <f>F4/((1+$E$1)^B4-1)</f>
        <v>6387.2344146740061</v>
      </c>
      <c r="J4" s="28">
        <f t="shared" ref="J4:J15" si="1">I4*$E$1</f>
        <v>319.36172073370034</v>
      </c>
      <c r="K4" s="30">
        <f t="shared" ref="K4:K15" si="2">$J$19+H4</f>
        <v>847.36172073370039</v>
      </c>
      <c r="L4" s="26">
        <f t="shared" si="0"/>
        <v>2.4000000000000004</v>
      </c>
    </row>
    <row r="5" spans="2:13" x14ac:dyDescent="0.25">
      <c r="B5">
        <f t="shared" ref="B5:B15" si="3">B4+10</f>
        <v>30</v>
      </c>
      <c r="C5" s="28">
        <f>IFERROR(INDEX('Proddata fra skoghåndbok'!$B$13:$N$17,MATCH($C$1,'Proddata fra skoghåndbok'!$A$13:$A$17,0),MATCH($B5,'Proddata fra skoghåndbok'!$B$12:$N$12))*10,0)</f>
        <v>69.599999999999994</v>
      </c>
      <c r="D5" s="12">
        <f>INDEX('Proddata fra skoghåndbok'!$B$20:$N$23,MATCH($C$1,'Proddata fra skoghåndbok'!$A$13:$A$17,),MATCH($B5,'Proddata fra skoghåndbok'!$B$12:$N$12))</f>
        <v>0</v>
      </c>
      <c r="E5" s="28">
        <f>Kalkulator!$B$38*D5+(1-D5)*Kalkulator!$B$39</f>
        <v>220</v>
      </c>
      <c r="F5" s="28">
        <f t="shared" ref="F5:F15" si="4">C5*E5</f>
        <v>15311.999999999998</v>
      </c>
      <c r="G5" s="28">
        <f>F5/10</f>
        <v>1531.1999999999998</v>
      </c>
      <c r="H5" s="28">
        <f t="shared" ref="H5:H15" si="5">F5*$E$1</f>
        <v>765.59999999999991</v>
      </c>
      <c r="I5" s="28">
        <f t="shared" ref="I5:I15" si="6">F5/((1+$E$1)^B5-1)</f>
        <v>4609.351478983901</v>
      </c>
      <c r="J5" s="28">
        <f t="shared" si="1"/>
        <v>230.46757394919507</v>
      </c>
      <c r="K5" s="30">
        <f t="shared" si="2"/>
        <v>1084.9617207337003</v>
      </c>
      <c r="L5" s="26">
        <f t="shared" si="0"/>
        <v>2.3199999999999998</v>
      </c>
      <c r="M5" s="29">
        <f>(C5-C4)/10</f>
        <v>2.1599999999999988</v>
      </c>
    </row>
    <row r="6" spans="2:13" x14ac:dyDescent="0.25">
      <c r="B6">
        <f t="shared" si="3"/>
        <v>40</v>
      </c>
      <c r="C6" s="28">
        <f>IFERROR(INDEX('Proddata fra skoghåndbok'!$B$13:$N$17,MATCH($C$1,'Proddata fra skoghåndbok'!$A$13:$A$17,0),MATCH($B6,'Proddata fra skoghåndbok'!$B$12:$N$12))*10,0)</f>
        <v>129.60000000000002</v>
      </c>
      <c r="D6" s="12">
        <f>INDEX('Proddata fra skoghåndbok'!$B$20:$N$23,MATCH($C$1,'Proddata fra skoghåndbok'!$A$13:$A$17,),MATCH($B6,'Proddata fra skoghåndbok'!$B$12:$N$12))</f>
        <v>0.1</v>
      </c>
      <c r="E6" s="28">
        <f>Kalkulator!$B$38*D6+(1-D6)*Kalkulator!$B$39</f>
        <v>248</v>
      </c>
      <c r="F6" s="28">
        <f t="shared" si="4"/>
        <v>32140.800000000007</v>
      </c>
      <c r="G6" s="28">
        <f t="shared" ref="G6:G15" si="7">F6/10</f>
        <v>3214.0800000000008</v>
      </c>
      <c r="H6" s="28">
        <f t="shared" si="5"/>
        <v>1607.0400000000004</v>
      </c>
      <c r="I6" s="28">
        <f t="shared" si="6"/>
        <v>5321.334448105953</v>
      </c>
      <c r="J6" s="28">
        <f t="shared" si="1"/>
        <v>266.06672240529764</v>
      </c>
      <c r="K6" s="30">
        <f t="shared" si="2"/>
        <v>1926.4017207337008</v>
      </c>
      <c r="L6" s="26">
        <f t="shared" si="0"/>
        <v>3.2400000000000007</v>
      </c>
      <c r="M6" s="29">
        <f t="shared" ref="M6:M15" si="8">(C6-C5)/10</f>
        <v>6.0000000000000027</v>
      </c>
    </row>
    <row r="7" spans="2:13" x14ac:dyDescent="0.25">
      <c r="B7">
        <f t="shared" si="3"/>
        <v>50</v>
      </c>
      <c r="C7" s="28">
        <f>IFERROR(INDEX('Proddata fra skoghåndbok'!$B$13:$N$17,MATCH($C$1,'Proddata fra skoghåndbok'!$A$13:$A$17,0),MATCH($B7,'Proddata fra skoghåndbok'!$B$12:$N$12))*10,0)</f>
        <v>171.20000000000002</v>
      </c>
      <c r="D7" s="12">
        <f>INDEX('Proddata fra skoghåndbok'!$B$20:$N$23,MATCH($C$1,'Proddata fra skoghåndbok'!$A$13:$A$17,),MATCH($B7,'Proddata fra skoghåndbok'!$B$12:$N$12))</f>
        <v>0.3</v>
      </c>
      <c r="E7" s="28">
        <f>Kalkulator!$B$38*D7+(1-D7)*Kalkulator!$B$39</f>
        <v>304</v>
      </c>
      <c r="F7" s="28">
        <f t="shared" si="4"/>
        <v>52044.800000000003</v>
      </c>
      <c r="G7" s="28">
        <f t="shared" si="7"/>
        <v>5204.4800000000005</v>
      </c>
      <c r="H7" s="28">
        <f t="shared" si="5"/>
        <v>2602.2400000000002</v>
      </c>
      <c r="I7" s="28">
        <f t="shared" si="6"/>
        <v>4972.0848601611542</v>
      </c>
      <c r="J7" s="28">
        <f t="shared" si="1"/>
        <v>248.60424300805772</v>
      </c>
      <c r="K7" s="30">
        <f t="shared" si="2"/>
        <v>2921.6017207337004</v>
      </c>
      <c r="L7" s="26">
        <f t="shared" si="0"/>
        <v>3.4240000000000004</v>
      </c>
      <c r="M7" s="29">
        <f t="shared" si="8"/>
        <v>4.1599999999999993</v>
      </c>
    </row>
    <row r="8" spans="2:13" x14ac:dyDescent="0.25">
      <c r="B8">
        <f t="shared" si="3"/>
        <v>60</v>
      </c>
      <c r="C8" s="28">
        <f>IFERROR(INDEX('Proddata fra skoghåndbok'!$B$13:$N$17,MATCH($C$1,'Proddata fra skoghåndbok'!$A$13:$A$17,0),MATCH($B8,'Proddata fra skoghåndbok'!$B$12:$N$12))*10,0)</f>
        <v>184.00000000000003</v>
      </c>
      <c r="D8" s="12">
        <f>INDEX('Proddata fra skoghåndbok'!$B$20:$N$23,MATCH($C$1,'Proddata fra skoghåndbok'!$A$13:$A$17,),MATCH($B8,'Proddata fra skoghåndbok'!$B$12:$N$12))</f>
        <v>0.35</v>
      </c>
      <c r="E8" s="28">
        <f>Kalkulator!$B$38*D8+(1-D8)*Kalkulator!$B$39</f>
        <v>318</v>
      </c>
      <c r="F8" s="28">
        <f t="shared" si="4"/>
        <v>58512.000000000007</v>
      </c>
      <c r="G8" s="28">
        <f t="shared" si="7"/>
        <v>5851.2000000000007</v>
      </c>
      <c r="H8" s="28">
        <f t="shared" si="5"/>
        <v>2925.6000000000004</v>
      </c>
      <c r="I8" s="28">
        <f>F8/((1+$E$1)^B8-1)</f>
        <v>3309.6546611601038</v>
      </c>
      <c r="J8" s="28">
        <f t="shared" si="1"/>
        <v>165.48273305800521</v>
      </c>
      <c r="K8" s="30">
        <f t="shared" si="2"/>
        <v>3244.9617207337005</v>
      </c>
      <c r="L8" s="26">
        <f t="shared" si="0"/>
        <v>3.0666666666666673</v>
      </c>
      <c r="M8" s="29">
        <f t="shared" si="8"/>
        <v>1.2800000000000011</v>
      </c>
    </row>
    <row r="9" spans="2:13" x14ac:dyDescent="0.25">
      <c r="B9">
        <f t="shared" si="3"/>
        <v>70</v>
      </c>
      <c r="C9" s="28">
        <f>IFERROR(INDEX('Proddata fra skoghåndbok'!$B$13:$N$17,MATCH($C$1,'Proddata fra skoghåndbok'!$A$13:$A$17,0),MATCH($B9,'Proddata fra skoghåndbok'!$B$12:$N$12))*10,0)</f>
        <v>252.8</v>
      </c>
      <c r="D9" s="12">
        <f>INDEX('Proddata fra skoghåndbok'!$B$20:$N$23,MATCH($C$1,'Proddata fra skoghåndbok'!$A$13:$A$17,),MATCH($B9,'Proddata fra skoghåndbok'!$B$12:$N$12))</f>
        <v>0.45</v>
      </c>
      <c r="E9" s="28">
        <f>Kalkulator!$B$38*D9+(1-D9)*Kalkulator!$B$39</f>
        <v>346</v>
      </c>
      <c r="F9" s="28">
        <f t="shared" si="4"/>
        <v>87468.800000000003</v>
      </c>
      <c r="G9" s="28">
        <f t="shared" si="7"/>
        <v>8746.880000000001</v>
      </c>
      <c r="H9" s="28">
        <f t="shared" si="5"/>
        <v>4373.4400000000005</v>
      </c>
      <c r="I9" s="28">
        <f t="shared" si="6"/>
        <v>2972.4575244260141</v>
      </c>
      <c r="J9" s="28">
        <f t="shared" si="1"/>
        <v>148.62287622130071</v>
      </c>
      <c r="K9" s="30">
        <f t="shared" si="2"/>
        <v>4692.8017207337007</v>
      </c>
      <c r="L9" s="26">
        <f t="shared" si="0"/>
        <v>3.6114285714285717</v>
      </c>
      <c r="M9" s="29">
        <f t="shared" si="8"/>
        <v>6.8799999999999981</v>
      </c>
    </row>
    <row r="10" spans="2:13" x14ac:dyDescent="0.25">
      <c r="B10">
        <f t="shared" si="3"/>
        <v>80</v>
      </c>
      <c r="C10" s="28">
        <f>IFERROR(INDEX('Proddata fra skoghåndbok'!$B$13:$N$17,MATCH($C$1,'Proddata fra skoghåndbok'!$A$13:$A$17,0),MATCH($B10,'Proddata fra skoghåndbok'!$B$12:$N$12))*10,0)</f>
        <v>308</v>
      </c>
      <c r="D10" s="12">
        <f>INDEX('Proddata fra skoghåndbok'!$B$20:$N$23,MATCH($C$1,'Proddata fra skoghåndbok'!$A$13:$A$17,),MATCH($B10,'Proddata fra skoghåndbok'!$B$12:$N$12))</f>
        <v>0.6</v>
      </c>
      <c r="E10" s="28">
        <f>Kalkulator!$B$38*D10+(1-D10)*Kalkulator!$B$39</f>
        <v>388</v>
      </c>
      <c r="F10" s="28">
        <f t="shared" si="4"/>
        <v>119504</v>
      </c>
      <c r="G10" s="28">
        <f t="shared" si="7"/>
        <v>11950.4</v>
      </c>
      <c r="H10" s="28">
        <f t="shared" si="5"/>
        <v>5975.2000000000007</v>
      </c>
      <c r="I10" s="28">
        <f t="shared" si="6"/>
        <v>2460.8824897825516</v>
      </c>
      <c r="J10" s="28">
        <f t="shared" si="1"/>
        <v>123.04412448912758</v>
      </c>
      <c r="K10" s="30">
        <f t="shared" si="2"/>
        <v>6294.5617207337009</v>
      </c>
      <c r="L10" s="26">
        <f t="shared" si="0"/>
        <v>3.85</v>
      </c>
      <c r="M10" s="29">
        <f t="shared" si="8"/>
        <v>5.5199999999999987</v>
      </c>
    </row>
    <row r="11" spans="2:13" x14ac:dyDescent="0.25">
      <c r="B11">
        <f t="shared" si="3"/>
        <v>90</v>
      </c>
      <c r="C11" s="28">
        <f>IFERROR(INDEX('Proddata fra skoghåndbok'!$B$13:$N$17,MATCH($C$1,'Proddata fra skoghåndbok'!$A$13:$A$17,0),MATCH($B11,'Proddata fra skoghåndbok'!$B$12:$N$12))*10,0)</f>
        <v>362.40000000000003</v>
      </c>
      <c r="D11" s="12">
        <f>INDEX('Proddata fra skoghåndbok'!$B$20:$N$23,MATCH($C$1,'Proddata fra skoghåndbok'!$A$13:$A$17,),MATCH($B11,'Proddata fra skoghåndbok'!$B$12:$N$12))</f>
        <v>0.7</v>
      </c>
      <c r="E11" s="28">
        <f>Kalkulator!$B$38*D11+(1-D11)*Kalkulator!$B$39</f>
        <v>416</v>
      </c>
      <c r="F11" s="28">
        <f t="shared" si="4"/>
        <v>150758.40000000002</v>
      </c>
      <c r="G11" s="28">
        <f t="shared" si="7"/>
        <v>15075.840000000002</v>
      </c>
      <c r="H11" s="28">
        <f t="shared" si="5"/>
        <v>7537.9200000000019</v>
      </c>
      <c r="I11" s="28">
        <f t="shared" si="6"/>
        <v>1890.8530006994063</v>
      </c>
      <c r="J11" s="28">
        <f t="shared" si="1"/>
        <v>94.542650034970322</v>
      </c>
      <c r="K11" s="30">
        <f t="shared" si="2"/>
        <v>7857.2817207337021</v>
      </c>
      <c r="L11" s="26">
        <f t="shared" si="0"/>
        <v>4.0266666666666673</v>
      </c>
      <c r="M11" s="29">
        <f t="shared" si="8"/>
        <v>5.4400000000000031</v>
      </c>
    </row>
    <row r="12" spans="2:13" x14ac:dyDescent="0.25">
      <c r="B12">
        <f t="shared" si="3"/>
        <v>100</v>
      </c>
      <c r="C12" s="28">
        <f>IFERROR(INDEX('Proddata fra skoghåndbok'!$B$13:$N$17,MATCH($C$1,'Proddata fra skoghåndbok'!$A$13:$A$17,0),MATCH($B12,'Proddata fra skoghåndbok'!$B$12:$N$12))*10,0)</f>
        <v>414.4</v>
      </c>
      <c r="D12" s="12">
        <f>INDEX('Proddata fra skoghåndbok'!$B$20:$N$23,MATCH($C$1,'Proddata fra skoghåndbok'!$A$13:$A$17,),MATCH($B12,'Proddata fra skoghåndbok'!$B$12:$N$12))</f>
        <v>0.7</v>
      </c>
      <c r="E12" s="28">
        <f>Kalkulator!$B$38*D12+(1-D12)*Kalkulator!$B$39</f>
        <v>416</v>
      </c>
      <c r="F12" s="28">
        <f t="shared" si="4"/>
        <v>172390.39999999999</v>
      </c>
      <c r="G12" s="28">
        <f t="shared" si="7"/>
        <v>17239.04</v>
      </c>
      <c r="H12" s="28">
        <f t="shared" si="5"/>
        <v>8619.52</v>
      </c>
      <c r="I12" s="28">
        <f t="shared" si="6"/>
        <v>1320.9865011648458</v>
      </c>
      <c r="J12" s="28">
        <f t="shared" si="1"/>
        <v>66.049325058242289</v>
      </c>
      <c r="K12" s="30">
        <f t="shared" si="2"/>
        <v>8938.8817207337015</v>
      </c>
      <c r="L12" s="26">
        <f t="shared" si="0"/>
        <v>4.1440000000000001</v>
      </c>
      <c r="M12" s="29">
        <f t="shared" si="8"/>
        <v>5.199999999999994</v>
      </c>
    </row>
    <row r="13" spans="2:13" x14ac:dyDescent="0.25">
      <c r="B13">
        <f t="shared" si="3"/>
        <v>110</v>
      </c>
      <c r="C13" s="28">
        <f>IFERROR(INDEX('Proddata fra skoghåndbok'!$B$13:$N$17,MATCH($C$1,'Proddata fra skoghåndbok'!$A$13:$A$17,0),MATCH($B13,'Proddata fra skoghåndbok'!$B$12:$N$12))*10,0)</f>
        <v>414.4</v>
      </c>
      <c r="D13" s="12">
        <f>INDEX('Proddata fra skoghåndbok'!$B$20:$N$23,MATCH($C$1,'Proddata fra skoghåndbok'!$A$13:$A$17,),MATCH($B13,'Proddata fra skoghåndbok'!$B$12:$N$12))</f>
        <v>0.7</v>
      </c>
      <c r="E13" s="28">
        <f>Kalkulator!$B$38*D13+(1-D13)*Kalkulator!$B$39</f>
        <v>416</v>
      </c>
      <c r="F13" s="28">
        <f t="shared" si="4"/>
        <v>172390.39999999999</v>
      </c>
      <c r="G13" s="28">
        <f t="shared" si="7"/>
        <v>17239.04</v>
      </c>
      <c r="H13" s="28">
        <f t="shared" si="5"/>
        <v>8619.52</v>
      </c>
      <c r="I13" s="28">
        <f t="shared" si="6"/>
        <v>808.57894758638656</v>
      </c>
      <c r="J13" s="28">
        <f t="shared" si="1"/>
        <v>40.428947379319332</v>
      </c>
      <c r="K13" s="30">
        <f t="shared" si="2"/>
        <v>8938.8817207337015</v>
      </c>
      <c r="L13" s="26">
        <f t="shared" si="0"/>
        <v>3.7672727272727271</v>
      </c>
      <c r="M13" s="29">
        <f t="shared" si="8"/>
        <v>0</v>
      </c>
    </row>
    <row r="14" spans="2:13" x14ac:dyDescent="0.25">
      <c r="B14">
        <f>B13+10</f>
        <v>120</v>
      </c>
      <c r="C14" s="28">
        <f>IFERROR(INDEX('Proddata fra skoghåndbok'!$B$13:$N$17,MATCH($C$1,'Proddata fra skoghåndbok'!$A$13:$A$17,0),MATCH($B14,'Proddata fra skoghåndbok'!$B$12:$N$12))*10,0)</f>
        <v>414.4</v>
      </c>
      <c r="D14" s="12">
        <f>INDEX('Proddata fra skoghåndbok'!$B$20:$N$23,MATCH($C$1,'Proddata fra skoghåndbok'!$A$13:$A$17,),MATCH($B14,'Proddata fra skoghåndbok'!$B$12:$N$12))</f>
        <v>0.7</v>
      </c>
      <c r="E14" s="28">
        <f>Kalkulator!$B$38*D14+(1-D14)*Kalkulator!$B$39</f>
        <v>416</v>
      </c>
      <c r="F14" s="28">
        <f t="shared" si="4"/>
        <v>172390.39999999999</v>
      </c>
      <c r="G14" s="28">
        <f t="shared" si="7"/>
        <v>17239.04</v>
      </c>
      <c r="H14" s="28">
        <f t="shared" si="5"/>
        <v>8619.52</v>
      </c>
      <c r="I14" s="28">
        <f t="shared" si="6"/>
        <v>495.5000319100858</v>
      </c>
      <c r="J14" s="28">
        <f t="shared" si="1"/>
        <v>24.775001595504293</v>
      </c>
      <c r="K14" s="30">
        <f t="shared" si="2"/>
        <v>8938.8817207337015</v>
      </c>
      <c r="L14" s="26">
        <f t="shared" si="0"/>
        <v>3.4533333333333331</v>
      </c>
      <c r="M14" s="29">
        <f t="shared" si="8"/>
        <v>0</v>
      </c>
    </row>
    <row r="15" spans="2:13" x14ac:dyDescent="0.25">
      <c r="B15">
        <f t="shared" si="3"/>
        <v>130</v>
      </c>
      <c r="C15" s="28">
        <f>IFERROR(INDEX('Proddata fra skoghåndbok'!$B$13:$N$17,MATCH($C$1,'Proddata fra skoghåndbok'!$A$13:$A$17,0),MATCH($B15,'Proddata fra skoghåndbok'!$B$12:$N$12))*10,0)</f>
        <v>414.4</v>
      </c>
      <c r="D15" s="12">
        <f>INDEX('Proddata fra skoghåndbok'!$B$20:$N$23,MATCH($C$1,'Proddata fra skoghåndbok'!$A$13:$A$17,),MATCH($B15,'Proddata fra skoghåndbok'!$B$12:$N$12))</f>
        <v>0.7</v>
      </c>
      <c r="E15" s="28">
        <f>Kalkulator!$B$38*D15+(1-D15)*Kalkulator!$B$39</f>
        <v>416</v>
      </c>
      <c r="F15" s="28">
        <f t="shared" si="4"/>
        <v>172390.39999999999</v>
      </c>
      <c r="G15" s="28">
        <f t="shared" si="7"/>
        <v>17239.04</v>
      </c>
      <c r="H15" s="28">
        <f t="shared" si="5"/>
        <v>8619.52</v>
      </c>
      <c r="I15" s="28">
        <f t="shared" si="6"/>
        <v>303.85683908551482</v>
      </c>
      <c r="J15" s="28">
        <f t="shared" si="1"/>
        <v>15.192841954275742</v>
      </c>
      <c r="K15" s="30">
        <f t="shared" si="2"/>
        <v>8938.8817207337015</v>
      </c>
      <c r="L15" s="26">
        <f t="shared" si="0"/>
        <v>3.1876923076923074</v>
      </c>
      <c r="M15" s="29">
        <f t="shared" si="8"/>
        <v>0</v>
      </c>
    </row>
    <row r="19" spans="2:13" x14ac:dyDescent="0.25">
      <c r="J19" s="29">
        <f>MAX(J3:J15)</f>
        <v>319.36172073370034</v>
      </c>
    </row>
    <row r="22" spans="2:13" x14ac:dyDescent="0.25">
      <c r="D22" t="s">
        <v>85</v>
      </c>
      <c r="E22" s="25">
        <v>0.05</v>
      </c>
    </row>
    <row r="23" spans="2:13" ht="90" x14ac:dyDescent="0.25">
      <c r="B23" t="s">
        <v>75</v>
      </c>
      <c r="C23" s="10" t="s">
        <v>79</v>
      </c>
      <c r="D23" s="10" t="s">
        <v>80</v>
      </c>
      <c r="E23" s="10" t="s">
        <v>76</v>
      </c>
      <c r="F23" s="10" t="s">
        <v>78</v>
      </c>
      <c r="G23" s="10" t="s">
        <v>81</v>
      </c>
      <c r="H23" s="10" t="s">
        <v>82</v>
      </c>
      <c r="I23" s="10" t="s">
        <v>83</v>
      </c>
      <c r="J23" s="10" t="s">
        <v>84</v>
      </c>
      <c r="K23" s="10" t="s">
        <v>88</v>
      </c>
      <c r="L23" s="10" t="s">
        <v>86</v>
      </c>
      <c r="M23" s="10" t="s">
        <v>87</v>
      </c>
    </row>
    <row r="24" spans="2:13" x14ac:dyDescent="0.25">
      <c r="B24">
        <v>10</v>
      </c>
      <c r="C24" s="28">
        <v>2</v>
      </c>
      <c r="D24" s="28"/>
      <c r="E24" s="28">
        <v>0</v>
      </c>
      <c r="F24" s="28"/>
      <c r="G24" s="28"/>
      <c r="I24" s="28"/>
      <c r="J24" s="28">
        <f>I24*$E$1</f>
        <v>0</v>
      </c>
      <c r="K24" s="30">
        <f>$J$41+H24</f>
        <v>41.357817928751949</v>
      </c>
      <c r="L24" s="26">
        <f t="shared" ref="L24:L37" si="9">C24/B24</f>
        <v>0.2</v>
      </c>
    </row>
    <row r="25" spans="2:13" x14ac:dyDescent="0.25">
      <c r="B25">
        <f>B24+5</f>
        <v>15</v>
      </c>
      <c r="C25" s="28">
        <v>14</v>
      </c>
      <c r="D25" s="28"/>
      <c r="E25" s="28"/>
      <c r="F25" s="28">
        <f>C25*E25</f>
        <v>0</v>
      </c>
      <c r="G25" s="28"/>
      <c r="H25" s="28">
        <f>F25*$E$1</f>
        <v>0</v>
      </c>
      <c r="I25" s="28">
        <f>F25/((1+$E$1)^B25-1)</f>
        <v>0</v>
      </c>
      <c r="J25" s="28">
        <f t="shared" ref="J25:J27" si="10">I25*$E$1</f>
        <v>0</v>
      </c>
      <c r="K25" s="30">
        <f t="shared" ref="K25:K37" si="11">$J$41+H25</f>
        <v>41.357817928751949</v>
      </c>
      <c r="L25" s="26">
        <f t="shared" si="9"/>
        <v>0.93333333333333335</v>
      </c>
      <c r="M25" s="29">
        <f t="shared" ref="M25:M37" si="12">(C25-C24)/5</f>
        <v>2.4</v>
      </c>
    </row>
    <row r="26" spans="2:13" x14ac:dyDescent="0.25">
      <c r="B26">
        <f t="shared" ref="B26:B33" si="13">B25+5</f>
        <v>20</v>
      </c>
      <c r="C26" s="28">
        <v>51</v>
      </c>
      <c r="D26" s="28"/>
      <c r="E26" s="28"/>
      <c r="F26" s="28">
        <f t="shared" ref="F26:F33" si="14">C26*E26</f>
        <v>0</v>
      </c>
      <c r="G26" s="28">
        <f>F26/10</f>
        <v>0</v>
      </c>
      <c r="H26" s="28">
        <f t="shared" ref="H26:H27" si="15">F26*$E$1</f>
        <v>0</v>
      </c>
      <c r="I26" s="28">
        <f t="shared" ref="I26:I27" si="16">F26/((1+$E$1)^B26-1)</f>
        <v>0</v>
      </c>
      <c r="J26" s="28">
        <f t="shared" si="10"/>
        <v>0</v>
      </c>
      <c r="K26" s="30">
        <f t="shared" si="11"/>
        <v>41.357817928751949</v>
      </c>
      <c r="L26" s="26">
        <f t="shared" si="9"/>
        <v>2.5499999999999998</v>
      </c>
      <c r="M26" s="29">
        <f t="shared" si="12"/>
        <v>7.4</v>
      </c>
    </row>
    <row r="27" spans="2:13" x14ac:dyDescent="0.25">
      <c r="B27">
        <f t="shared" si="13"/>
        <v>25</v>
      </c>
      <c r="C27" s="28">
        <v>124</v>
      </c>
      <c r="D27" s="28"/>
      <c r="E27" s="28"/>
      <c r="F27" s="28">
        <f t="shared" si="14"/>
        <v>0</v>
      </c>
      <c r="G27" s="28">
        <f t="shared" ref="G27" si="17">F27/10</f>
        <v>0</v>
      </c>
      <c r="H27" s="28">
        <f t="shared" si="15"/>
        <v>0</v>
      </c>
      <c r="I27" s="28">
        <f t="shared" si="16"/>
        <v>0</v>
      </c>
      <c r="J27" s="28">
        <f t="shared" si="10"/>
        <v>0</v>
      </c>
      <c r="K27" s="30">
        <f t="shared" si="11"/>
        <v>41.357817928751949</v>
      </c>
      <c r="L27" s="26">
        <f t="shared" si="9"/>
        <v>4.96</v>
      </c>
      <c r="M27" s="29">
        <f t="shared" si="12"/>
        <v>14.6</v>
      </c>
    </row>
    <row r="28" spans="2:13" x14ac:dyDescent="0.25">
      <c r="B28">
        <f t="shared" si="13"/>
        <v>30</v>
      </c>
      <c r="C28" s="28">
        <v>232</v>
      </c>
      <c r="D28" s="28"/>
      <c r="E28" s="28">
        <v>2</v>
      </c>
      <c r="F28" s="28">
        <f t="shared" si="14"/>
        <v>464</v>
      </c>
      <c r="G28" s="28">
        <f>(F28-F27)/5</f>
        <v>92.8</v>
      </c>
      <c r="H28" s="28">
        <f>F28*$E$22</f>
        <v>23.200000000000003</v>
      </c>
      <c r="I28" s="28">
        <f>F28/((1+$E$22)^B28-1)</f>
        <v>139.67731754496671</v>
      </c>
      <c r="J28" s="27">
        <f>I28*$E$22</f>
        <v>6.983865877248336</v>
      </c>
      <c r="K28" s="30">
        <f t="shared" si="11"/>
        <v>64.557817928751945</v>
      </c>
      <c r="L28" s="26">
        <f t="shared" si="9"/>
        <v>7.7333333333333334</v>
      </c>
      <c r="M28" s="29">
        <f t="shared" si="12"/>
        <v>21.6</v>
      </c>
    </row>
    <row r="29" spans="2:13" x14ac:dyDescent="0.25">
      <c r="B29">
        <f t="shared" si="13"/>
        <v>35</v>
      </c>
      <c r="C29" s="28">
        <v>366</v>
      </c>
      <c r="D29" s="28"/>
      <c r="E29" s="28">
        <f t="shared" ref="E29:E33" si="18">E28+2</f>
        <v>4</v>
      </c>
      <c r="F29" s="28">
        <f t="shared" si="14"/>
        <v>1464</v>
      </c>
      <c r="G29" s="28">
        <f t="shared" ref="G29:G33" si="19">(F29-F28)/5</f>
        <v>200</v>
      </c>
      <c r="H29" s="28">
        <f t="shared" ref="H29:H33" si="20">F29*$E$22</f>
        <v>73.2</v>
      </c>
      <c r="I29" s="28">
        <f t="shared" ref="I29:I33" si="21">F29/((1+$E$22)^B29-1)</f>
        <v>324.17958771928249</v>
      </c>
      <c r="J29" s="27">
        <f t="shared" ref="J29:J33" si="22">I29*$E$22</f>
        <v>16.208979385964124</v>
      </c>
      <c r="K29" s="30">
        <f t="shared" si="11"/>
        <v>114.55781792875194</v>
      </c>
      <c r="L29" s="26">
        <f t="shared" si="9"/>
        <v>10.457142857142857</v>
      </c>
      <c r="M29" s="29">
        <f t="shared" si="12"/>
        <v>26.8</v>
      </c>
    </row>
    <row r="30" spans="2:13" x14ac:dyDescent="0.25">
      <c r="B30">
        <f t="shared" si="13"/>
        <v>40</v>
      </c>
      <c r="C30" s="28">
        <v>513</v>
      </c>
      <c r="D30" s="28"/>
      <c r="E30" s="28">
        <f t="shared" si="18"/>
        <v>6</v>
      </c>
      <c r="F30" s="28">
        <f t="shared" si="14"/>
        <v>3078</v>
      </c>
      <c r="G30" s="28">
        <f t="shared" si="19"/>
        <v>322.8</v>
      </c>
      <c r="H30" s="28">
        <f t="shared" si="20"/>
        <v>153.9</v>
      </c>
      <c r="I30" s="28">
        <f t="shared" si="21"/>
        <v>509.60360138111434</v>
      </c>
      <c r="J30" s="27">
        <f t="shared" si="22"/>
        <v>25.48018006905572</v>
      </c>
      <c r="K30" s="30">
        <f t="shared" si="11"/>
        <v>195.25781792875196</v>
      </c>
      <c r="L30" s="26">
        <f t="shared" si="9"/>
        <v>12.824999999999999</v>
      </c>
      <c r="M30" s="29">
        <f t="shared" si="12"/>
        <v>29.4</v>
      </c>
    </row>
    <row r="31" spans="2:13" x14ac:dyDescent="0.25">
      <c r="B31">
        <f t="shared" si="13"/>
        <v>45</v>
      </c>
      <c r="C31" s="28">
        <v>662</v>
      </c>
      <c r="D31" s="28"/>
      <c r="E31" s="28">
        <f t="shared" si="18"/>
        <v>8</v>
      </c>
      <c r="F31" s="28">
        <f t="shared" si="14"/>
        <v>5296</v>
      </c>
      <c r="G31" s="28">
        <f t="shared" si="19"/>
        <v>443.6</v>
      </c>
      <c r="H31" s="28">
        <f t="shared" si="20"/>
        <v>264.8</v>
      </c>
      <c r="I31" s="28">
        <f t="shared" si="21"/>
        <v>663.24293437958147</v>
      </c>
      <c r="J31" s="27">
        <f t="shared" si="22"/>
        <v>33.162146718979074</v>
      </c>
      <c r="K31" s="30">
        <f t="shared" si="11"/>
        <v>306.15781792875197</v>
      </c>
      <c r="L31" s="26">
        <f t="shared" si="9"/>
        <v>14.71111111111111</v>
      </c>
      <c r="M31" s="29">
        <f t="shared" si="12"/>
        <v>29.8</v>
      </c>
    </row>
    <row r="32" spans="2:13" x14ac:dyDescent="0.25">
      <c r="B32">
        <f t="shared" si="13"/>
        <v>50</v>
      </c>
      <c r="C32" s="28">
        <v>802</v>
      </c>
      <c r="D32" s="28"/>
      <c r="E32" s="28">
        <f t="shared" si="18"/>
        <v>10</v>
      </c>
      <c r="F32" s="28">
        <f t="shared" si="14"/>
        <v>8020</v>
      </c>
      <c r="G32" s="28">
        <f t="shared" si="19"/>
        <v>544.79999999999995</v>
      </c>
      <c r="H32" s="28">
        <f t="shared" si="20"/>
        <v>401</v>
      </c>
      <c r="I32" s="28">
        <f t="shared" si="21"/>
        <v>766.18837191213061</v>
      </c>
      <c r="J32" s="27">
        <f t="shared" si="22"/>
        <v>38.30941859560653</v>
      </c>
      <c r="K32" s="30">
        <f t="shared" si="11"/>
        <v>442.35781792875196</v>
      </c>
      <c r="L32" s="26">
        <f t="shared" si="9"/>
        <v>16.04</v>
      </c>
      <c r="M32" s="29">
        <f t="shared" si="12"/>
        <v>28</v>
      </c>
    </row>
    <row r="33" spans="2:13" x14ac:dyDescent="0.25">
      <c r="B33">
        <f t="shared" si="13"/>
        <v>55</v>
      </c>
      <c r="C33" s="28">
        <v>929</v>
      </c>
      <c r="D33" s="28"/>
      <c r="E33" s="28">
        <f t="shared" si="18"/>
        <v>12</v>
      </c>
      <c r="F33" s="28">
        <f t="shared" si="14"/>
        <v>11148</v>
      </c>
      <c r="G33" s="28">
        <f t="shared" si="19"/>
        <v>625.6</v>
      </c>
      <c r="H33" s="28">
        <f t="shared" si="20"/>
        <v>557.4</v>
      </c>
      <c r="I33" s="28">
        <f t="shared" si="21"/>
        <v>817.56392999852369</v>
      </c>
      <c r="J33" s="27">
        <f t="shared" si="22"/>
        <v>40.87819649992619</v>
      </c>
      <c r="K33" s="30">
        <f t="shared" si="11"/>
        <v>598.75781792875193</v>
      </c>
      <c r="L33" s="26">
        <f t="shared" si="9"/>
        <v>16.890909090909091</v>
      </c>
      <c r="M33" s="29">
        <f t="shared" si="12"/>
        <v>25.4</v>
      </c>
    </row>
    <row r="34" spans="2:13" x14ac:dyDescent="0.25">
      <c r="B34">
        <f>B33+5</f>
        <v>60</v>
      </c>
      <c r="C34" s="28">
        <v>1039</v>
      </c>
      <c r="D34" s="28"/>
      <c r="E34" s="28">
        <f>E33+2</f>
        <v>14</v>
      </c>
      <c r="F34" s="28">
        <f>C34*E34</f>
        <v>14546</v>
      </c>
      <c r="G34" s="28">
        <f>(F34-F33)/5</f>
        <v>679.6</v>
      </c>
      <c r="H34" s="28">
        <f>F34*$E$22</f>
        <v>727.30000000000007</v>
      </c>
      <c r="I34" s="28">
        <f>F34/((1+$E$22)^B34-1)</f>
        <v>822.77544266534835</v>
      </c>
      <c r="J34" s="27">
        <f>I34*$E$22</f>
        <v>41.138772133267423</v>
      </c>
      <c r="K34" s="30">
        <f t="shared" si="11"/>
        <v>768.65781792875202</v>
      </c>
      <c r="L34" s="26">
        <f t="shared" si="9"/>
        <v>17.316666666666666</v>
      </c>
      <c r="M34" s="29">
        <f t="shared" si="12"/>
        <v>22</v>
      </c>
    </row>
    <row r="35" spans="2:13" x14ac:dyDescent="0.25">
      <c r="B35">
        <f>B34+5</f>
        <v>65</v>
      </c>
      <c r="C35" s="28">
        <v>1132</v>
      </c>
      <c r="D35" s="28"/>
      <c r="E35" s="28">
        <f>E34+2</f>
        <v>16</v>
      </c>
      <c r="F35" s="28">
        <f>C35*E35</f>
        <v>18112</v>
      </c>
      <c r="G35" s="28">
        <f>(F35-F34)/5</f>
        <v>713.2</v>
      </c>
      <c r="H35" s="28">
        <f>F35*$E$22</f>
        <v>905.6</v>
      </c>
      <c r="I35" s="28">
        <f>F35/((1+$E$22)^B35-1)</f>
        <v>792.99819861610115</v>
      </c>
      <c r="J35" s="27">
        <f>I35*$E$22</f>
        <v>39.649909930805059</v>
      </c>
      <c r="K35" s="30">
        <f t="shared" si="11"/>
        <v>946.95781792875198</v>
      </c>
      <c r="L35" s="26">
        <f t="shared" si="9"/>
        <v>17.415384615384614</v>
      </c>
      <c r="M35" s="29">
        <f t="shared" si="12"/>
        <v>18.600000000000001</v>
      </c>
    </row>
    <row r="36" spans="2:13" x14ac:dyDescent="0.25">
      <c r="B36">
        <f>B35+5</f>
        <v>70</v>
      </c>
      <c r="C36" s="28">
        <v>1209</v>
      </c>
      <c r="D36" s="28"/>
      <c r="E36" s="28">
        <f>E35+2</f>
        <v>18</v>
      </c>
      <c r="F36" s="28">
        <f>C36*E36</f>
        <v>21762</v>
      </c>
      <c r="G36" s="28">
        <f>(F36-F35)/5</f>
        <v>730</v>
      </c>
      <c r="H36" s="28">
        <f>F36*$E$22</f>
        <v>1088.1000000000001</v>
      </c>
      <c r="I36" s="28">
        <f>F36/((1+$E$22)^B36-1)</f>
        <v>739.53936313930126</v>
      </c>
      <c r="J36" s="27">
        <f>I36*$E$22</f>
        <v>36.976968156965064</v>
      </c>
      <c r="K36" s="30">
        <f t="shared" si="11"/>
        <v>1129.4578179287521</v>
      </c>
      <c r="L36" s="26">
        <f t="shared" si="9"/>
        <v>17.271428571428572</v>
      </c>
      <c r="M36" s="29">
        <f t="shared" si="12"/>
        <v>15.4</v>
      </c>
    </row>
    <row r="37" spans="2:13" x14ac:dyDescent="0.25">
      <c r="B37">
        <f>B36+5</f>
        <v>75</v>
      </c>
      <c r="C37" s="28">
        <v>1271</v>
      </c>
      <c r="E37" s="28">
        <f>E36+2</f>
        <v>20</v>
      </c>
      <c r="F37" s="28">
        <f>C37*E37</f>
        <v>25420</v>
      </c>
      <c r="G37" s="28">
        <f>(F37-F36)/5</f>
        <v>731.6</v>
      </c>
      <c r="H37" s="28">
        <f>F37*$E$22</f>
        <v>1271</v>
      </c>
      <c r="I37" s="28">
        <f>F37/((1+$E$22)^B37-1)</f>
        <v>671.90577087836391</v>
      </c>
      <c r="J37" s="27">
        <f>I37*$E$22</f>
        <v>33.595288543918194</v>
      </c>
      <c r="K37" s="30">
        <f t="shared" si="11"/>
        <v>1312.357817928752</v>
      </c>
      <c r="L37" s="26">
        <f t="shared" si="9"/>
        <v>16.946666666666665</v>
      </c>
      <c r="M37" s="29">
        <f t="shared" si="12"/>
        <v>12.4</v>
      </c>
    </row>
    <row r="41" spans="2:13" x14ac:dyDescent="0.25">
      <c r="B41">
        <v>58</v>
      </c>
      <c r="C41" s="28">
        <v>995</v>
      </c>
      <c r="D41" s="28"/>
      <c r="E41" s="28">
        <v>12</v>
      </c>
      <c r="F41" s="28">
        <v>13187</v>
      </c>
      <c r="G41" s="28">
        <f>(F41-F33)/5</f>
        <v>407.8</v>
      </c>
      <c r="H41" s="28">
        <f t="shared" ref="H41" si="23">F41*$E$22</f>
        <v>659.35</v>
      </c>
      <c r="I41" s="28">
        <f t="shared" ref="I41" si="24">F41/((1+$E$22)^B41-1)</f>
        <v>827.15635857503889</v>
      </c>
      <c r="J41" s="27">
        <f>I41*$E$22</f>
        <v>41.357817928751949</v>
      </c>
      <c r="L41" s="26">
        <f>C41/B41</f>
        <v>17.155172413793103</v>
      </c>
      <c r="M41" s="29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tabColor theme="4"/>
  </sheetPr>
  <dimension ref="A3:N48"/>
  <sheetViews>
    <sheetView workbookViewId="0">
      <selection activeCell="C45" sqref="C45"/>
    </sheetView>
  </sheetViews>
  <sheetFormatPr baseColWidth="10" defaultColWidth="11.42578125" defaultRowHeight="15" x14ac:dyDescent="0.25"/>
  <cols>
    <col min="1" max="1" width="4.5703125" style="226" bestFit="1" customWidth="1"/>
    <col min="2" max="2" width="13.28515625" style="226" customWidth="1"/>
    <col min="3" max="3" width="14.42578125" style="226" customWidth="1"/>
    <col min="4" max="4" width="19.42578125" style="226" customWidth="1"/>
    <col min="5" max="5" width="15.42578125" style="226" customWidth="1"/>
    <col min="6" max="16384" width="11.42578125" style="226"/>
  </cols>
  <sheetData>
    <row r="3" spans="1:14" x14ac:dyDescent="0.25">
      <c r="B3" s="226" t="s">
        <v>26</v>
      </c>
    </row>
    <row r="4" spans="1:14" x14ac:dyDescent="0.25">
      <c r="A4" s="227"/>
      <c r="B4" s="228">
        <v>20</v>
      </c>
      <c r="C4" s="228">
        <v>30</v>
      </c>
      <c r="D4" s="228">
        <v>40</v>
      </c>
      <c r="E4" s="228">
        <v>50</v>
      </c>
      <c r="F4" s="228">
        <v>60</v>
      </c>
      <c r="G4" s="228">
        <v>70</v>
      </c>
      <c r="H4" s="228">
        <v>80</v>
      </c>
      <c r="I4" s="228">
        <v>90</v>
      </c>
      <c r="J4" s="228">
        <v>100</v>
      </c>
      <c r="K4" s="228">
        <v>110</v>
      </c>
      <c r="L4" s="228">
        <v>120</v>
      </c>
      <c r="M4" s="228">
        <v>130</v>
      </c>
      <c r="N4" s="228">
        <v>140</v>
      </c>
    </row>
    <row r="5" spans="1:14" x14ac:dyDescent="0.25">
      <c r="A5" s="227">
        <v>20</v>
      </c>
      <c r="B5" s="229">
        <v>6.3</v>
      </c>
      <c r="C5" s="229">
        <v>15.9</v>
      </c>
      <c r="D5" s="229">
        <v>26</v>
      </c>
      <c r="E5" s="229">
        <v>33</v>
      </c>
      <c r="F5" s="229">
        <v>41</v>
      </c>
      <c r="G5" s="229">
        <v>48</v>
      </c>
      <c r="H5" s="229">
        <v>58</v>
      </c>
      <c r="I5" s="229">
        <v>68</v>
      </c>
      <c r="J5" s="229">
        <f>I5</f>
        <v>68</v>
      </c>
      <c r="K5" s="229">
        <f t="shared" ref="K5:L7" si="0">J5</f>
        <v>68</v>
      </c>
      <c r="L5" s="229">
        <f t="shared" si="0"/>
        <v>68</v>
      </c>
      <c r="M5" s="229">
        <f>(L5+N5)/2</f>
        <v>68</v>
      </c>
      <c r="N5" s="229">
        <f>L5</f>
        <v>68</v>
      </c>
    </row>
    <row r="6" spans="1:14" x14ac:dyDescent="0.25">
      <c r="A6" s="227">
        <v>17</v>
      </c>
      <c r="B6" s="229">
        <v>6</v>
      </c>
      <c r="C6" s="229">
        <v>8.6999999999999993</v>
      </c>
      <c r="D6" s="229">
        <v>16.2</v>
      </c>
      <c r="E6" s="229">
        <v>21.4</v>
      </c>
      <c r="F6" s="229">
        <v>23</v>
      </c>
      <c r="G6" s="229">
        <v>31.6</v>
      </c>
      <c r="H6" s="229">
        <v>38.5</v>
      </c>
      <c r="I6" s="229">
        <v>45.3</v>
      </c>
      <c r="J6" s="229">
        <v>51.8</v>
      </c>
      <c r="K6" s="229">
        <f t="shared" si="0"/>
        <v>51.8</v>
      </c>
      <c r="L6" s="229">
        <f t="shared" si="0"/>
        <v>51.8</v>
      </c>
      <c r="M6" s="229">
        <f t="shared" ref="M6:M9" si="1">(L6+N6)/2</f>
        <v>51.8</v>
      </c>
      <c r="N6" s="229">
        <f>L6</f>
        <v>51.8</v>
      </c>
    </row>
    <row r="7" spans="1:14" x14ac:dyDescent="0.25">
      <c r="A7" s="227">
        <v>14</v>
      </c>
      <c r="B7" s="229"/>
      <c r="C7" s="229">
        <v>5</v>
      </c>
      <c r="D7" s="229">
        <v>10</v>
      </c>
      <c r="E7" s="229">
        <v>15</v>
      </c>
      <c r="F7" s="229">
        <v>21.5</v>
      </c>
      <c r="G7" s="229">
        <v>22.4</v>
      </c>
      <c r="H7" s="229">
        <v>28</v>
      </c>
      <c r="I7" s="229">
        <v>26.8</v>
      </c>
      <c r="J7" s="229">
        <v>31.9</v>
      </c>
      <c r="K7" s="229">
        <v>35.9</v>
      </c>
      <c r="L7" s="229">
        <f t="shared" si="0"/>
        <v>35.9</v>
      </c>
      <c r="M7" s="229">
        <f t="shared" si="1"/>
        <v>35.9</v>
      </c>
      <c r="N7" s="229">
        <f>L7</f>
        <v>35.9</v>
      </c>
    </row>
    <row r="8" spans="1:14" x14ac:dyDescent="0.25">
      <c r="A8" s="227">
        <v>11</v>
      </c>
      <c r="B8" s="229"/>
      <c r="C8" s="229"/>
      <c r="D8" s="229">
        <v>5.0999999999999996</v>
      </c>
      <c r="E8" s="229">
        <v>8.8000000000000007</v>
      </c>
      <c r="F8" s="229">
        <v>11</v>
      </c>
      <c r="G8" s="229">
        <v>14</v>
      </c>
      <c r="H8" s="229">
        <v>18.5</v>
      </c>
      <c r="I8" s="229">
        <v>16</v>
      </c>
      <c r="J8" s="229">
        <v>20</v>
      </c>
      <c r="K8" s="229">
        <v>24</v>
      </c>
      <c r="L8" s="229">
        <v>27</v>
      </c>
      <c r="M8" s="229">
        <f t="shared" si="1"/>
        <v>29.5</v>
      </c>
      <c r="N8" s="229">
        <v>32</v>
      </c>
    </row>
    <row r="9" spans="1:14" x14ac:dyDescent="0.25">
      <c r="A9" s="227">
        <v>8</v>
      </c>
      <c r="B9" s="229"/>
      <c r="C9" s="229"/>
      <c r="D9" s="229"/>
      <c r="E9" s="229"/>
      <c r="F9" s="229">
        <v>4.9000000000000004</v>
      </c>
      <c r="G9" s="229">
        <v>8.4</v>
      </c>
      <c r="H9" s="229">
        <v>9.5</v>
      </c>
      <c r="I9" s="229">
        <v>11</v>
      </c>
      <c r="J9" s="229">
        <v>14.5</v>
      </c>
      <c r="K9" s="229">
        <v>14</v>
      </c>
      <c r="L9" s="229">
        <v>16.5</v>
      </c>
      <c r="M9" s="229">
        <f t="shared" si="1"/>
        <v>18</v>
      </c>
      <c r="N9" s="229">
        <v>19.5</v>
      </c>
    </row>
    <row r="11" spans="1:14" x14ac:dyDescent="0.25">
      <c r="A11" s="230">
        <v>0.8</v>
      </c>
      <c r="B11" s="226" t="s">
        <v>27</v>
      </c>
    </row>
    <row r="12" spans="1:14" x14ac:dyDescent="0.25">
      <c r="A12" s="227"/>
      <c r="B12" s="228">
        <v>20</v>
      </c>
      <c r="C12" s="228">
        <v>30</v>
      </c>
      <c r="D12" s="228">
        <v>40</v>
      </c>
      <c r="E12" s="228">
        <v>50</v>
      </c>
      <c r="F12" s="228">
        <v>60</v>
      </c>
      <c r="G12" s="228">
        <v>70</v>
      </c>
      <c r="H12" s="228">
        <v>80</v>
      </c>
      <c r="I12" s="228">
        <v>90</v>
      </c>
      <c r="J12" s="228">
        <v>100</v>
      </c>
      <c r="K12" s="228">
        <v>110</v>
      </c>
      <c r="L12" s="228">
        <v>120</v>
      </c>
      <c r="M12" s="228">
        <v>130</v>
      </c>
      <c r="N12" s="228">
        <v>140</v>
      </c>
    </row>
    <row r="13" spans="1:14" x14ac:dyDescent="0.25">
      <c r="A13" s="227">
        <v>20</v>
      </c>
      <c r="B13" s="226">
        <f t="shared" ref="B13:N13" si="2">B5*$A$11</f>
        <v>5.04</v>
      </c>
      <c r="C13" s="226">
        <f t="shared" si="2"/>
        <v>12.72</v>
      </c>
      <c r="D13" s="226">
        <f t="shared" si="2"/>
        <v>20.8</v>
      </c>
      <c r="E13" s="226">
        <f t="shared" si="2"/>
        <v>26.400000000000002</v>
      </c>
      <c r="F13" s="226">
        <f t="shared" si="2"/>
        <v>32.800000000000004</v>
      </c>
      <c r="G13" s="226">
        <f t="shared" si="2"/>
        <v>38.400000000000006</v>
      </c>
      <c r="H13" s="226">
        <f t="shared" si="2"/>
        <v>46.400000000000006</v>
      </c>
      <c r="I13" s="226">
        <f t="shared" si="2"/>
        <v>54.400000000000006</v>
      </c>
      <c r="J13" s="226">
        <f t="shared" si="2"/>
        <v>54.400000000000006</v>
      </c>
      <c r="K13" s="226">
        <f t="shared" si="2"/>
        <v>54.400000000000006</v>
      </c>
      <c r="L13" s="226">
        <f t="shared" si="2"/>
        <v>54.400000000000006</v>
      </c>
      <c r="M13" s="226">
        <f>(L13+N13)/2</f>
        <v>54.400000000000006</v>
      </c>
      <c r="N13" s="226">
        <f t="shared" si="2"/>
        <v>54.400000000000006</v>
      </c>
    </row>
    <row r="14" spans="1:14" x14ac:dyDescent="0.25">
      <c r="A14" s="227">
        <v>17</v>
      </c>
      <c r="B14" s="226">
        <f t="shared" ref="B14:N14" si="3">B6*$A$11</f>
        <v>4.8000000000000007</v>
      </c>
      <c r="C14" s="226">
        <f t="shared" si="3"/>
        <v>6.96</v>
      </c>
      <c r="D14" s="226">
        <f t="shared" si="3"/>
        <v>12.96</v>
      </c>
      <c r="E14" s="226">
        <f t="shared" si="3"/>
        <v>17.12</v>
      </c>
      <c r="F14" s="226">
        <f t="shared" si="3"/>
        <v>18.400000000000002</v>
      </c>
      <c r="G14" s="226">
        <f t="shared" si="3"/>
        <v>25.28</v>
      </c>
      <c r="H14" s="226">
        <f t="shared" si="3"/>
        <v>30.8</v>
      </c>
      <c r="I14" s="226">
        <f t="shared" si="3"/>
        <v>36.24</v>
      </c>
      <c r="J14" s="226">
        <f t="shared" si="3"/>
        <v>41.44</v>
      </c>
      <c r="K14" s="226">
        <f t="shared" si="3"/>
        <v>41.44</v>
      </c>
      <c r="L14" s="226">
        <f t="shared" si="3"/>
        <v>41.44</v>
      </c>
      <c r="M14" s="226">
        <f t="shared" ref="M14:M17" si="4">(L14+N14)/2</f>
        <v>41.44</v>
      </c>
      <c r="N14" s="226">
        <f t="shared" si="3"/>
        <v>41.44</v>
      </c>
    </row>
    <row r="15" spans="1:14" x14ac:dyDescent="0.25">
      <c r="A15" s="227">
        <v>14</v>
      </c>
      <c r="B15" s="226">
        <f t="shared" ref="B15:N15" si="5">B7*$A$11</f>
        <v>0</v>
      </c>
      <c r="C15" s="226">
        <f t="shared" si="5"/>
        <v>4</v>
      </c>
      <c r="D15" s="226">
        <f t="shared" si="5"/>
        <v>8</v>
      </c>
      <c r="E15" s="226">
        <f t="shared" si="5"/>
        <v>12</v>
      </c>
      <c r="F15" s="226">
        <f t="shared" si="5"/>
        <v>17.2</v>
      </c>
      <c r="G15" s="226">
        <f t="shared" si="5"/>
        <v>17.919999999999998</v>
      </c>
      <c r="H15" s="226">
        <f t="shared" si="5"/>
        <v>22.400000000000002</v>
      </c>
      <c r="I15" s="226">
        <f t="shared" si="5"/>
        <v>21.44</v>
      </c>
      <c r="J15" s="226">
        <f t="shared" si="5"/>
        <v>25.52</v>
      </c>
      <c r="K15" s="226">
        <f t="shared" si="5"/>
        <v>28.72</v>
      </c>
      <c r="L15" s="226">
        <f t="shared" si="5"/>
        <v>28.72</v>
      </c>
      <c r="M15" s="226">
        <f t="shared" si="4"/>
        <v>28.72</v>
      </c>
      <c r="N15" s="226">
        <f t="shared" si="5"/>
        <v>28.72</v>
      </c>
    </row>
    <row r="16" spans="1:14" x14ac:dyDescent="0.25">
      <c r="A16" s="227">
        <v>11</v>
      </c>
      <c r="B16" s="226">
        <f t="shared" ref="B16:N16" si="6">B8*$A$11</f>
        <v>0</v>
      </c>
      <c r="C16" s="226">
        <f t="shared" si="6"/>
        <v>0</v>
      </c>
      <c r="D16" s="226">
        <f t="shared" si="6"/>
        <v>4.08</v>
      </c>
      <c r="E16" s="226">
        <f t="shared" si="6"/>
        <v>7.0400000000000009</v>
      </c>
      <c r="F16" s="226">
        <f t="shared" si="6"/>
        <v>8.8000000000000007</v>
      </c>
      <c r="G16" s="226">
        <f t="shared" si="6"/>
        <v>11.200000000000001</v>
      </c>
      <c r="H16" s="226">
        <f t="shared" si="6"/>
        <v>14.8</v>
      </c>
      <c r="I16" s="226">
        <f t="shared" si="6"/>
        <v>12.8</v>
      </c>
      <c r="J16" s="226">
        <f t="shared" si="6"/>
        <v>16</v>
      </c>
      <c r="K16" s="226">
        <f t="shared" si="6"/>
        <v>19.200000000000003</v>
      </c>
      <c r="L16" s="226">
        <f t="shared" si="6"/>
        <v>21.6</v>
      </c>
      <c r="M16" s="226">
        <f t="shared" si="4"/>
        <v>23.6</v>
      </c>
      <c r="N16" s="226">
        <f t="shared" si="6"/>
        <v>25.6</v>
      </c>
    </row>
    <row r="17" spans="1:14" x14ac:dyDescent="0.25">
      <c r="A17" s="227">
        <v>8</v>
      </c>
      <c r="B17" s="226">
        <f t="shared" ref="B17:N17" si="7">B9*$A$11</f>
        <v>0</v>
      </c>
      <c r="C17" s="226">
        <f t="shared" si="7"/>
        <v>0</v>
      </c>
      <c r="D17" s="226">
        <f t="shared" si="7"/>
        <v>0</v>
      </c>
      <c r="E17" s="226">
        <f t="shared" si="7"/>
        <v>0</v>
      </c>
      <c r="F17" s="226">
        <f t="shared" si="7"/>
        <v>3.9200000000000004</v>
      </c>
      <c r="G17" s="226">
        <f t="shared" si="7"/>
        <v>6.7200000000000006</v>
      </c>
      <c r="H17" s="226">
        <f t="shared" si="7"/>
        <v>7.6000000000000005</v>
      </c>
      <c r="I17" s="226">
        <f t="shared" si="7"/>
        <v>8.8000000000000007</v>
      </c>
      <c r="J17" s="226">
        <f t="shared" si="7"/>
        <v>11.600000000000001</v>
      </c>
      <c r="K17" s="226">
        <f t="shared" si="7"/>
        <v>11.200000000000001</v>
      </c>
      <c r="L17" s="226">
        <f t="shared" si="7"/>
        <v>13.200000000000001</v>
      </c>
      <c r="M17" s="226">
        <f t="shared" si="4"/>
        <v>14.400000000000002</v>
      </c>
      <c r="N17" s="226">
        <f t="shared" si="7"/>
        <v>15.600000000000001</v>
      </c>
    </row>
    <row r="18" spans="1:14" x14ac:dyDescent="0.25">
      <c r="B18" s="226" t="s">
        <v>31</v>
      </c>
    </row>
    <row r="19" spans="1:14" x14ac:dyDescent="0.25">
      <c r="B19" s="228">
        <v>20</v>
      </c>
      <c r="C19" s="228">
        <v>30</v>
      </c>
      <c r="D19" s="228">
        <v>40</v>
      </c>
      <c r="E19" s="228">
        <v>50</v>
      </c>
      <c r="F19" s="228">
        <v>60</v>
      </c>
      <c r="G19" s="228">
        <v>70</v>
      </c>
      <c r="H19" s="228">
        <v>80</v>
      </c>
      <c r="I19" s="228">
        <v>90</v>
      </c>
      <c r="J19" s="228">
        <v>100</v>
      </c>
      <c r="K19" s="228">
        <v>110</v>
      </c>
      <c r="L19" s="228">
        <v>120</v>
      </c>
      <c r="M19" s="228">
        <v>130</v>
      </c>
      <c r="N19" s="228">
        <v>140</v>
      </c>
    </row>
    <row r="20" spans="1:14" x14ac:dyDescent="0.25">
      <c r="A20" s="227">
        <v>20</v>
      </c>
      <c r="B20" s="230"/>
      <c r="C20" s="230">
        <v>0.1</v>
      </c>
      <c r="D20" s="230">
        <v>0.3</v>
      </c>
      <c r="E20" s="230">
        <v>0.35</v>
      </c>
      <c r="F20" s="230">
        <v>0.45</v>
      </c>
      <c r="G20" s="230">
        <v>0.65</v>
      </c>
      <c r="H20" s="230">
        <v>0.7</v>
      </c>
      <c r="I20" s="230">
        <v>0.7</v>
      </c>
      <c r="J20" s="230">
        <f>I20</f>
        <v>0.7</v>
      </c>
      <c r="K20" s="230">
        <f t="shared" ref="K20:M22" si="8">J20</f>
        <v>0.7</v>
      </c>
      <c r="L20" s="230">
        <f t="shared" si="8"/>
        <v>0.7</v>
      </c>
      <c r="M20" s="230">
        <f t="shared" si="8"/>
        <v>0.7</v>
      </c>
      <c r="N20" s="230">
        <f>L20</f>
        <v>0.7</v>
      </c>
    </row>
    <row r="21" spans="1:14" x14ac:dyDescent="0.25">
      <c r="A21" s="227">
        <v>17</v>
      </c>
      <c r="B21" s="230"/>
      <c r="C21" s="230"/>
      <c r="D21" s="230">
        <v>0.1</v>
      </c>
      <c r="E21" s="230">
        <v>0.3</v>
      </c>
      <c r="F21" s="230">
        <v>0.35</v>
      </c>
      <c r="G21" s="230">
        <v>0.45</v>
      </c>
      <c r="H21" s="230">
        <v>0.6</v>
      </c>
      <c r="I21" s="230">
        <v>0.7</v>
      </c>
      <c r="J21" s="230">
        <v>0.7</v>
      </c>
      <c r="K21" s="230">
        <f t="shared" si="8"/>
        <v>0.7</v>
      </c>
      <c r="L21" s="230">
        <f t="shared" si="8"/>
        <v>0.7</v>
      </c>
      <c r="M21" s="230">
        <f t="shared" si="8"/>
        <v>0.7</v>
      </c>
      <c r="N21" s="230">
        <f>L21</f>
        <v>0.7</v>
      </c>
    </row>
    <row r="22" spans="1:14" x14ac:dyDescent="0.25">
      <c r="A22" s="227">
        <v>14</v>
      </c>
      <c r="B22" s="230"/>
      <c r="C22" s="230"/>
      <c r="D22" s="230"/>
      <c r="E22" s="230">
        <v>0.1</v>
      </c>
      <c r="F22" s="230">
        <v>0.3</v>
      </c>
      <c r="G22" s="230">
        <v>0.35</v>
      </c>
      <c r="H22" s="230">
        <v>0.45</v>
      </c>
      <c r="I22" s="230">
        <v>0.6</v>
      </c>
      <c r="J22" s="230">
        <v>0.7</v>
      </c>
      <c r="K22" s="230">
        <v>0.7</v>
      </c>
      <c r="L22" s="230">
        <f t="shared" si="8"/>
        <v>0.7</v>
      </c>
      <c r="M22" s="230">
        <f t="shared" si="8"/>
        <v>0.7</v>
      </c>
      <c r="N22" s="230">
        <f>L22</f>
        <v>0.7</v>
      </c>
    </row>
    <row r="23" spans="1:14" x14ac:dyDescent="0.25">
      <c r="A23" s="227">
        <v>11</v>
      </c>
      <c r="B23" s="230"/>
      <c r="C23" s="230"/>
      <c r="D23" s="230"/>
      <c r="E23" s="230"/>
      <c r="F23" s="230">
        <v>0.1</v>
      </c>
      <c r="G23" s="230">
        <v>0.3</v>
      </c>
      <c r="H23" s="230">
        <v>0.35</v>
      </c>
      <c r="I23" s="230">
        <v>0.45</v>
      </c>
      <c r="J23" s="230">
        <v>0.5</v>
      </c>
      <c r="K23" s="230">
        <v>0.6</v>
      </c>
      <c r="L23" s="230">
        <v>0.7</v>
      </c>
      <c r="M23" s="230">
        <v>0.7</v>
      </c>
      <c r="N23" s="230">
        <f>L23</f>
        <v>0.7</v>
      </c>
    </row>
    <row r="24" spans="1:14" x14ac:dyDescent="0.25">
      <c r="A24" s="227">
        <v>8</v>
      </c>
      <c r="B24" s="230"/>
      <c r="C24" s="230"/>
      <c r="D24" s="230"/>
      <c r="E24" s="230"/>
      <c r="F24" s="230"/>
      <c r="G24" s="230">
        <v>0.1</v>
      </c>
      <c r="H24" s="230">
        <v>0.3</v>
      </c>
      <c r="I24" s="230">
        <v>0.35</v>
      </c>
      <c r="J24" s="230">
        <v>0.45</v>
      </c>
      <c r="K24" s="230">
        <v>0.5</v>
      </c>
      <c r="L24" s="230">
        <v>0.6</v>
      </c>
      <c r="M24" s="230">
        <v>0.6</v>
      </c>
      <c r="N24" s="230">
        <v>0.7</v>
      </c>
    </row>
    <row r="26" spans="1:14" x14ac:dyDescent="0.25">
      <c r="B26" s="226" t="s">
        <v>37</v>
      </c>
    </row>
    <row r="27" spans="1:14" x14ac:dyDescent="0.25">
      <c r="B27" s="228">
        <v>20</v>
      </c>
      <c r="C27" s="228">
        <v>30</v>
      </c>
      <c r="D27" s="228">
        <v>40</v>
      </c>
      <c r="E27" s="228">
        <v>50</v>
      </c>
      <c r="F27" s="228">
        <v>60</v>
      </c>
      <c r="G27" s="228">
        <v>70</v>
      </c>
      <c r="H27" s="228">
        <v>80</v>
      </c>
      <c r="I27" s="228">
        <v>90</v>
      </c>
      <c r="J27" s="228">
        <v>100</v>
      </c>
      <c r="K27" s="228">
        <v>110</v>
      </c>
      <c r="L27" s="228">
        <v>120</v>
      </c>
      <c r="M27" s="228">
        <v>130</v>
      </c>
      <c r="N27" s="228">
        <v>140</v>
      </c>
    </row>
    <row r="28" spans="1:14" x14ac:dyDescent="0.25">
      <c r="A28" s="227">
        <v>20</v>
      </c>
      <c r="B28" s="231">
        <f t="shared" ref="B28:C28" si="9">C28+10</f>
        <v>145</v>
      </c>
      <c r="C28" s="231">
        <f t="shared" si="9"/>
        <v>135</v>
      </c>
      <c r="D28" s="231">
        <f>E28+10</f>
        <v>125</v>
      </c>
      <c r="E28" s="231">
        <f t="shared" ref="E28:F28" si="10">F28+5</f>
        <v>115</v>
      </c>
      <c r="F28" s="231">
        <f t="shared" si="10"/>
        <v>110</v>
      </c>
      <c r="G28" s="231">
        <f>H28+5</f>
        <v>105</v>
      </c>
      <c r="H28" s="231">
        <f t="shared" ref="H28:J29" si="11">I28</f>
        <v>100</v>
      </c>
      <c r="I28" s="231">
        <f t="shared" si="11"/>
        <v>100</v>
      </c>
      <c r="J28" s="231">
        <f t="shared" si="11"/>
        <v>100</v>
      </c>
      <c r="K28" s="231">
        <f>L28</f>
        <v>100</v>
      </c>
      <c r="L28" s="231">
        <v>100</v>
      </c>
      <c r="M28" s="231">
        <v>100</v>
      </c>
      <c r="N28" s="231">
        <v>100</v>
      </c>
    </row>
    <row r="29" spans="1:14" x14ac:dyDescent="0.25">
      <c r="A29" s="227">
        <v>17</v>
      </c>
      <c r="B29" s="231">
        <f t="shared" ref="B29:E30" si="12">C29+10</f>
        <v>150</v>
      </c>
      <c r="C29" s="231">
        <f t="shared" si="12"/>
        <v>140</v>
      </c>
      <c r="D29" s="231">
        <f t="shared" si="12"/>
        <v>130</v>
      </c>
      <c r="E29" s="231">
        <f t="shared" ref="E29:G29" si="13">F29+5</f>
        <v>120</v>
      </c>
      <c r="F29" s="231">
        <f t="shared" si="13"/>
        <v>115</v>
      </c>
      <c r="G29" s="231">
        <f t="shared" si="13"/>
        <v>110</v>
      </c>
      <c r="H29" s="231">
        <f>I29+5</f>
        <v>105</v>
      </c>
      <c r="I29" s="231">
        <f t="shared" si="11"/>
        <v>100</v>
      </c>
      <c r="J29" s="231">
        <f t="shared" si="11"/>
        <v>100</v>
      </c>
      <c r="K29" s="231">
        <f t="shared" ref="K29" si="14">L29</f>
        <v>100</v>
      </c>
      <c r="L29" s="231">
        <v>100</v>
      </c>
      <c r="M29" s="231">
        <v>100</v>
      </c>
      <c r="N29" s="231">
        <v>100</v>
      </c>
    </row>
    <row r="30" spans="1:14" x14ac:dyDescent="0.25">
      <c r="A30" s="227">
        <v>14</v>
      </c>
      <c r="B30" s="231">
        <f t="shared" si="12"/>
        <v>160</v>
      </c>
      <c r="C30" s="231">
        <f t="shared" si="12"/>
        <v>150</v>
      </c>
      <c r="D30" s="231">
        <f t="shared" si="12"/>
        <v>140</v>
      </c>
      <c r="E30" s="231">
        <f t="shared" si="12"/>
        <v>130</v>
      </c>
      <c r="F30" s="231">
        <f t="shared" ref="F30:H30" si="15">G30+5</f>
        <v>120</v>
      </c>
      <c r="G30" s="231">
        <f t="shared" si="15"/>
        <v>115</v>
      </c>
      <c r="H30" s="231">
        <f t="shared" si="15"/>
        <v>110</v>
      </c>
      <c r="I30" s="231">
        <f>J30+5</f>
        <v>105</v>
      </c>
      <c r="J30" s="231">
        <v>100</v>
      </c>
      <c r="K30" s="231">
        <v>100</v>
      </c>
      <c r="L30" s="231">
        <v>100</v>
      </c>
      <c r="M30" s="231">
        <v>100</v>
      </c>
      <c r="N30" s="231">
        <v>100</v>
      </c>
    </row>
    <row r="31" spans="1:14" x14ac:dyDescent="0.25">
      <c r="A31" s="227">
        <v>11</v>
      </c>
      <c r="B31" s="231">
        <f t="shared" ref="B31:G31" si="16">C31+10</f>
        <v>180</v>
      </c>
      <c r="C31" s="231">
        <f t="shared" si="16"/>
        <v>170</v>
      </c>
      <c r="D31" s="231">
        <f t="shared" si="16"/>
        <v>160</v>
      </c>
      <c r="E31" s="231">
        <f t="shared" si="16"/>
        <v>150</v>
      </c>
      <c r="F31" s="231">
        <f t="shared" si="16"/>
        <v>140</v>
      </c>
      <c r="G31" s="231">
        <f t="shared" si="16"/>
        <v>130</v>
      </c>
      <c r="H31" s="231">
        <f t="shared" ref="H31:J31" si="17">I31+5</f>
        <v>120</v>
      </c>
      <c r="I31" s="231">
        <f t="shared" si="17"/>
        <v>115</v>
      </c>
      <c r="J31" s="231">
        <f t="shared" si="17"/>
        <v>110</v>
      </c>
      <c r="K31" s="231">
        <f>L31+5</f>
        <v>105</v>
      </c>
      <c r="L31" s="231">
        <v>100</v>
      </c>
      <c r="M31" s="231">
        <v>100</v>
      </c>
      <c r="N31" s="231">
        <v>100</v>
      </c>
    </row>
    <row r="32" spans="1:14" x14ac:dyDescent="0.25">
      <c r="A32" s="227">
        <v>8</v>
      </c>
      <c r="B32" s="231">
        <f t="shared" ref="B32:G32" si="18">C32+10</f>
        <v>190</v>
      </c>
      <c r="C32" s="231">
        <f t="shared" si="18"/>
        <v>180</v>
      </c>
      <c r="D32" s="231">
        <f t="shared" si="18"/>
        <v>170</v>
      </c>
      <c r="E32" s="231">
        <f t="shared" si="18"/>
        <v>160</v>
      </c>
      <c r="F32" s="231">
        <f t="shared" si="18"/>
        <v>150</v>
      </c>
      <c r="G32" s="231">
        <f t="shared" si="18"/>
        <v>140</v>
      </c>
      <c r="H32" s="231">
        <f t="shared" ref="H32:L32" si="19">I32+5</f>
        <v>130</v>
      </c>
      <c r="I32" s="231">
        <f t="shared" si="19"/>
        <v>125</v>
      </c>
      <c r="J32" s="231">
        <f t="shared" si="19"/>
        <v>120</v>
      </c>
      <c r="K32" s="231">
        <f t="shared" si="19"/>
        <v>115</v>
      </c>
      <c r="L32" s="231">
        <f t="shared" si="19"/>
        <v>110</v>
      </c>
      <c r="M32" s="231">
        <f>N32+5</f>
        <v>105</v>
      </c>
      <c r="N32" s="231">
        <v>100</v>
      </c>
    </row>
    <row r="34" spans="1:14" x14ac:dyDescent="0.25">
      <c r="B34" s="226" t="s">
        <v>117</v>
      </c>
    </row>
    <row r="35" spans="1:14" x14ac:dyDescent="0.25">
      <c r="B35" s="228">
        <v>20</v>
      </c>
      <c r="C35" s="228">
        <v>30</v>
      </c>
      <c r="D35" s="228">
        <v>40</v>
      </c>
      <c r="E35" s="228">
        <v>50</v>
      </c>
      <c r="F35" s="228">
        <v>60</v>
      </c>
      <c r="G35" s="228">
        <v>70</v>
      </c>
      <c r="H35" s="228">
        <v>80</v>
      </c>
      <c r="I35" s="228">
        <v>90</v>
      </c>
      <c r="J35" s="228">
        <v>100</v>
      </c>
      <c r="K35" s="228">
        <v>110</v>
      </c>
      <c r="L35" s="228">
        <v>120</v>
      </c>
      <c r="M35" s="228">
        <v>130</v>
      </c>
      <c r="N35" s="228">
        <v>140</v>
      </c>
    </row>
    <row r="36" spans="1:14" x14ac:dyDescent="0.25">
      <c r="A36" s="227">
        <v>20</v>
      </c>
      <c r="B36" s="230">
        <v>0</v>
      </c>
      <c r="C36" s="230">
        <v>0.1</v>
      </c>
      <c r="D36" s="230">
        <v>0.3</v>
      </c>
      <c r="E36" s="230">
        <v>0.5</v>
      </c>
      <c r="F36" s="230">
        <v>0.7</v>
      </c>
      <c r="G36" s="230">
        <v>0.85</v>
      </c>
      <c r="H36" s="230">
        <v>1</v>
      </c>
      <c r="I36" s="230">
        <v>1</v>
      </c>
      <c r="J36" s="230">
        <v>1</v>
      </c>
      <c r="K36" s="230">
        <v>1</v>
      </c>
      <c r="L36" s="230">
        <v>1</v>
      </c>
      <c r="M36" s="230">
        <v>1</v>
      </c>
      <c r="N36" s="230">
        <v>1</v>
      </c>
    </row>
    <row r="37" spans="1:14" x14ac:dyDescent="0.25">
      <c r="A37" s="227">
        <v>17</v>
      </c>
      <c r="B37" s="230">
        <v>0</v>
      </c>
      <c r="C37" s="230">
        <v>0</v>
      </c>
      <c r="D37" s="230">
        <v>0.1</v>
      </c>
      <c r="E37" s="230">
        <v>0.3</v>
      </c>
      <c r="F37" s="230">
        <v>0.5</v>
      </c>
      <c r="G37" s="230">
        <v>0.7</v>
      </c>
      <c r="H37" s="230">
        <v>0.85</v>
      </c>
      <c r="I37" s="230">
        <v>1</v>
      </c>
      <c r="J37" s="230">
        <v>1</v>
      </c>
      <c r="K37" s="230">
        <v>1</v>
      </c>
      <c r="L37" s="230">
        <v>1</v>
      </c>
      <c r="M37" s="230">
        <v>1</v>
      </c>
      <c r="N37" s="230">
        <v>1</v>
      </c>
    </row>
    <row r="38" spans="1:14" x14ac:dyDescent="0.25">
      <c r="A38" s="227">
        <v>14</v>
      </c>
      <c r="B38" s="230">
        <v>0</v>
      </c>
      <c r="C38" s="230">
        <v>0</v>
      </c>
      <c r="D38" s="230">
        <v>0.05</v>
      </c>
      <c r="E38" s="230">
        <v>0.1</v>
      </c>
      <c r="F38" s="230">
        <v>0.4</v>
      </c>
      <c r="G38" s="230">
        <v>0.5</v>
      </c>
      <c r="H38" s="230">
        <v>0.75</v>
      </c>
      <c r="I38" s="230">
        <v>1</v>
      </c>
      <c r="J38" s="230">
        <v>1</v>
      </c>
      <c r="K38" s="230">
        <v>1</v>
      </c>
      <c r="L38" s="230">
        <v>1</v>
      </c>
      <c r="M38" s="230">
        <v>1</v>
      </c>
      <c r="N38" s="230">
        <v>1</v>
      </c>
    </row>
    <row r="39" spans="1:14" x14ac:dyDescent="0.25">
      <c r="A39" s="227">
        <v>11</v>
      </c>
      <c r="B39" s="230">
        <v>0</v>
      </c>
      <c r="C39" s="230">
        <v>0</v>
      </c>
      <c r="D39" s="230">
        <v>0</v>
      </c>
      <c r="E39" s="230">
        <v>0.1</v>
      </c>
      <c r="F39" s="230">
        <v>0.3</v>
      </c>
      <c r="G39" s="230">
        <v>0.5</v>
      </c>
      <c r="H39" s="230">
        <v>0.6</v>
      </c>
      <c r="I39" s="230">
        <v>0.7</v>
      </c>
      <c r="J39" s="230">
        <v>0.85</v>
      </c>
      <c r="K39" s="230">
        <v>0.9</v>
      </c>
      <c r="L39" s="230">
        <v>1</v>
      </c>
      <c r="M39" s="230">
        <v>1</v>
      </c>
      <c r="N39" s="230">
        <f t="shared" ref="N39" si="20">L39</f>
        <v>1</v>
      </c>
    </row>
    <row r="40" spans="1:14" x14ac:dyDescent="0.25">
      <c r="A40" s="227">
        <v>8</v>
      </c>
      <c r="B40" s="230">
        <v>0</v>
      </c>
      <c r="C40" s="230">
        <v>0</v>
      </c>
      <c r="D40" s="230">
        <v>0</v>
      </c>
      <c r="E40" s="230">
        <v>0</v>
      </c>
      <c r="F40" s="230">
        <v>0</v>
      </c>
      <c r="G40" s="230">
        <v>0.1</v>
      </c>
      <c r="H40" s="230">
        <v>0.3</v>
      </c>
      <c r="I40" s="230">
        <v>0.5</v>
      </c>
      <c r="J40" s="230">
        <v>0.6</v>
      </c>
      <c r="K40" s="230">
        <v>0.7</v>
      </c>
      <c r="L40" s="230">
        <v>0.85</v>
      </c>
      <c r="M40" s="230">
        <v>0.85</v>
      </c>
      <c r="N40" s="230">
        <v>1</v>
      </c>
    </row>
    <row r="43" spans="1:14" x14ac:dyDescent="0.25">
      <c r="B43" s="226" t="s">
        <v>17</v>
      </c>
      <c r="C43" s="226" t="s">
        <v>18</v>
      </c>
      <c r="D43" s="226" t="s">
        <v>20</v>
      </c>
      <c r="E43" s="226" t="s">
        <v>19</v>
      </c>
      <c r="F43" s="226" t="s">
        <v>23</v>
      </c>
    </row>
    <row r="44" spans="1:14" x14ac:dyDescent="0.25">
      <c r="B44" s="226">
        <v>20</v>
      </c>
      <c r="C44" s="226">
        <v>80</v>
      </c>
      <c r="D44" s="226">
        <f>9/10</f>
        <v>0.9</v>
      </c>
      <c r="E44" s="226">
        <f>584/10</f>
        <v>58.4</v>
      </c>
      <c r="F44" s="226">
        <f>E44*0.8</f>
        <v>46.72</v>
      </c>
    </row>
    <row r="45" spans="1:14" x14ac:dyDescent="0.25">
      <c r="B45" s="226">
        <v>17</v>
      </c>
      <c r="C45" s="226">
        <v>90</v>
      </c>
      <c r="D45" s="226">
        <f>7/10</f>
        <v>0.7</v>
      </c>
      <c r="E45" s="226">
        <f>453/10</f>
        <v>45.3</v>
      </c>
      <c r="F45" s="226">
        <f t="shared" ref="F45:F48" si="21">E45*0.8</f>
        <v>36.24</v>
      </c>
    </row>
    <row r="46" spans="1:14" x14ac:dyDescent="0.25">
      <c r="B46" s="226">
        <v>14</v>
      </c>
      <c r="C46" s="226">
        <v>100</v>
      </c>
      <c r="D46" s="226">
        <f>5/10</f>
        <v>0.5</v>
      </c>
      <c r="E46" s="226">
        <f>319/10</f>
        <v>31.9</v>
      </c>
      <c r="F46" s="226">
        <f t="shared" si="21"/>
        <v>25.52</v>
      </c>
    </row>
    <row r="47" spans="1:14" x14ac:dyDescent="0.25">
      <c r="B47" s="226">
        <v>11</v>
      </c>
      <c r="C47" s="226">
        <v>120</v>
      </c>
      <c r="D47" s="226">
        <f>3.5/10</f>
        <v>0.35</v>
      </c>
      <c r="E47" s="226">
        <f>(255+(2.7*5))/10</f>
        <v>26.85</v>
      </c>
      <c r="F47" s="226">
        <f t="shared" si="21"/>
        <v>21.480000000000004</v>
      </c>
    </row>
    <row r="48" spans="1:14" x14ac:dyDescent="0.25">
      <c r="B48" s="226">
        <v>8</v>
      </c>
      <c r="C48" s="226">
        <v>140</v>
      </c>
      <c r="D48" s="226">
        <f>2/10</f>
        <v>0.2</v>
      </c>
      <c r="E48" s="226">
        <f>(191+9)/10</f>
        <v>20</v>
      </c>
      <c r="F48" s="226">
        <f t="shared" si="21"/>
        <v>16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T53"/>
  <sheetViews>
    <sheetView zoomScale="110" zoomScaleNormal="110" workbookViewId="0">
      <selection activeCell="M13" sqref="M13:Q21"/>
    </sheetView>
  </sheetViews>
  <sheetFormatPr baseColWidth="10" defaultColWidth="9" defaultRowHeight="11.25" x14ac:dyDescent="0.2"/>
  <cols>
    <col min="1" max="1" width="23.42578125" style="20" bestFit="1" customWidth="1"/>
    <col min="2" max="2" width="23.42578125" style="20" customWidth="1"/>
    <col min="3" max="7" width="9.85546875" style="20" customWidth="1"/>
    <col min="8" max="11" width="9" style="110"/>
    <col min="12" max="12" width="16.85546875" style="110" bestFit="1" customWidth="1"/>
    <col min="13" max="15" width="9.140625" style="110" bestFit="1" customWidth="1"/>
    <col min="16" max="17" width="9.85546875" style="110" bestFit="1" customWidth="1"/>
    <col min="18" max="46" width="9" style="110"/>
    <col min="47" max="16384" width="9" style="20"/>
  </cols>
  <sheetData>
    <row r="1" spans="1:19" x14ac:dyDescent="0.2">
      <c r="A1" s="14" t="s">
        <v>38</v>
      </c>
      <c r="B1" s="14"/>
      <c r="C1" s="15"/>
      <c r="D1" s="15"/>
      <c r="E1" s="15"/>
      <c r="F1" s="15"/>
      <c r="G1" s="15"/>
    </row>
    <row r="2" spans="1:19" ht="67.5" x14ac:dyDescent="0.2">
      <c r="A2" s="15" t="s">
        <v>39</v>
      </c>
      <c r="B2" s="16" t="s">
        <v>72</v>
      </c>
      <c r="C2" s="16" t="s">
        <v>72</v>
      </c>
      <c r="D2" s="16" t="str">
        <f>C2</f>
        <v>Furu</v>
      </c>
      <c r="E2" s="16" t="str">
        <f t="shared" ref="E2:F2" si="0">D2</f>
        <v>Furu</v>
      </c>
      <c r="F2" s="16" t="str">
        <f t="shared" si="0"/>
        <v>Furu</v>
      </c>
      <c r="G2" s="17" t="s">
        <v>40</v>
      </c>
      <c r="L2" s="116" t="s">
        <v>17</v>
      </c>
      <c r="M2" s="116" t="s">
        <v>18</v>
      </c>
      <c r="N2" s="116" t="s">
        <v>20</v>
      </c>
      <c r="O2" s="116" t="s">
        <v>19</v>
      </c>
      <c r="P2" s="116" t="s">
        <v>23</v>
      </c>
      <c r="Q2" s="116" t="s">
        <v>34</v>
      </c>
      <c r="R2" s="116" t="s">
        <v>33</v>
      </c>
      <c r="S2" s="116" t="s">
        <v>35</v>
      </c>
    </row>
    <row r="3" spans="1:19" x14ac:dyDescent="0.2">
      <c r="A3" s="15" t="s">
        <v>73</v>
      </c>
      <c r="B3" s="15">
        <v>8</v>
      </c>
      <c r="C3" s="15">
        <v>11</v>
      </c>
      <c r="D3" s="15">
        <f>+C3+3</f>
        <v>14</v>
      </c>
      <c r="E3" s="15">
        <f t="shared" ref="E3:F3" si="1">+D3+3</f>
        <v>17</v>
      </c>
      <c r="F3" s="15">
        <f t="shared" si="1"/>
        <v>20</v>
      </c>
      <c r="G3" s="14"/>
      <c r="L3" s="117">
        <v>20</v>
      </c>
      <c r="M3" s="117">
        <v>80</v>
      </c>
      <c r="N3" s="117">
        <f>9/10</f>
        <v>0.9</v>
      </c>
      <c r="O3" s="117">
        <f>584/10</f>
        <v>58.4</v>
      </c>
      <c r="P3" s="117">
        <f>O3*0.8</f>
        <v>46.72</v>
      </c>
      <c r="Q3" s="118">
        <v>3304</v>
      </c>
      <c r="R3" s="118">
        <v>2244</v>
      </c>
      <c r="S3" s="118">
        <v>1152</v>
      </c>
    </row>
    <row r="4" spans="1:19" x14ac:dyDescent="0.2">
      <c r="A4" s="17" t="s">
        <v>41</v>
      </c>
      <c r="B4" s="17">
        <f>INDEX('Proddata fra skoghåndbok'!$B$13:$N$32,MATCH(B3,'Proddata fra skoghåndbok'!$A$20:$A$24,),MATCH(B7,'Proddata fra skoghåndbok'!$B$19:$N$19))*10*(1+B8)</f>
        <v>156</v>
      </c>
      <c r="C4" s="17">
        <f>INDEX('Proddata fra skoghåndbok'!$B$13:$N$32,MATCH(C3,'Proddata fra skoghåndbok'!$A$20:$A$24,),MATCH(C7,'Proddata fra skoghåndbok'!$B$19:$N$19))*10*(1+C8)</f>
        <v>216</v>
      </c>
      <c r="D4" s="17">
        <f>INDEX('Proddata fra skoghåndbok'!$B$13:$N$32,MATCH(D3,'Proddata fra skoghåndbok'!$A$20:$A$24,),MATCH(D7,'Proddata fra skoghåndbok'!$B$19:$N$19))*10*(1+D8)</f>
        <v>255.2</v>
      </c>
      <c r="E4" s="17">
        <f>INDEX('Proddata fra skoghåndbok'!$B$13:$N$32,MATCH(E3,'Proddata fra skoghåndbok'!$A$20:$A$24,),MATCH(E7,'Proddata fra skoghåndbok'!$B$19:$N$19))*10*(1+E8)</f>
        <v>362.40000000000003</v>
      </c>
      <c r="F4" s="17">
        <f>INDEX('Proddata fra skoghåndbok'!$B$13:$N$32,MATCH(F3,'Proddata fra skoghåndbok'!$A$20:$A$24,),MATCH(F7,'Proddata fra skoghåndbok'!$B$19:$N$19))*10*(1+F8)</f>
        <v>464.00000000000006</v>
      </c>
      <c r="G4" s="17" t="s">
        <v>42</v>
      </c>
      <c r="L4" s="117">
        <v>17</v>
      </c>
      <c r="M4" s="117">
        <v>90</v>
      </c>
      <c r="N4" s="117">
        <f>7/10</f>
        <v>0.7</v>
      </c>
      <c r="O4" s="117">
        <f>453/10</f>
        <v>45.3</v>
      </c>
      <c r="P4" s="117">
        <f t="shared" ref="P4:P7" si="2">O4*0.8</f>
        <v>36.24</v>
      </c>
      <c r="Q4" s="118">
        <v>1967</v>
      </c>
      <c r="R4" s="118">
        <v>1302</v>
      </c>
      <c r="S4" s="118">
        <v>632</v>
      </c>
    </row>
    <row r="5" spans="1:19" x14ac:dyDescent="0.2">
      <c r="A5" s="14" t="s">
        <v>43</v>
      </c>
      <c r="B5" s="19">
        <f>B4/B7</f>
        <v>1.1142857142857143</v>
      </c>
      <c r="C5" s="19">
        <f>C4/C7</f>
        <v>1.8</v>
      </c>
      <c r="D5" s="19">
        <f t="shared" ref="D5:F5" si="3">D4/D7</f>
        <v>2.552</v>
      </c>
      <c r="E5" s="19">
        <f t="shared" si="3"/>
        <v>4.0266666666666673</v>
      </c>
      <c r="F5" s="19">
        <f t="shared" si="3"/>
        <v>5.8000000000000007</v>
      </c>
      <c r="G5" s="15" t="s">
        <v>44</v>
      </c>
      <c r="L5" s="117">
        <v>14</v>
      </c>
      <c r="M5" s="117">
        <v>100</v>
      </c>
      <c r="N5" s="117">
        <f>5/10</f>
        <v>0.5</v>
      </c>
      <c r="O5" s="117">
        <f>319/10</f>
        <v>31.9</v>
      </c>
      <c r="P5" s="117">
        <f t="shared" si="2"/>
        <v>25.52</v>
      </c>
      <c r="Q5" s="118">
        <v>921</v>
      </c>
      <c r="R5" s="118">
        <v>572</v>
      </c>
      <c r="S5" s="118">
        <v>246</v>
      </c>
    </row>
    <row r="6" spans="1:19" x14ac:dyDescent="0.2">
      <c r="A6" s="20" t="s">
        <v>45</v>
      </c>
      <c r="B6" s="18"/>
      <c r="C6" s="18"/>
      <c r="D6" s="18"/>
      <c r="E6" s="18"/>
      <c r="F6" s="18"/>
      <c r="G6" s="14"/>
      <c r="L6" s="117">
        <v>11</v>
      </c>
      <c r="M6" s="117">
        <v>120</v>
      </c>
      <c r="N6" s="117">
        <f>3.5/10</f>
        <v>0.35</v>
      </c>
      <c r="O6" s="117">
        <f>(255+(2.7*5))/10</f>
        <v>26.85</v>
      </c>
      <c r="P6" s="117">
        <f t="shared" si="2"/>
        <v>21.480000000000004</v>
      </c>
      <c r="Q6" s="118">
        <v>325</v>
      </c>
      <c r="R6" s="118">
        <v>185</v>
      </c>
      <c r="S6" s="118">
        <v>67</v>
      </c>
    </row>
    <row r="7" spans="1:19" x14ac:dyDescent="0.2">
      <c r="A7" s="14" t="s">
        <v>46</v>
      </c>
      <c r="B7" s="119">
        <f>INDEX(Kalkulator!$B$56:$B$60,MATCH(B3,Kalkulator!$A$56:$A$60,0))</f>
        <v>140</v>
      </c>
      <c r="C7" s="119">
        <f>INDEX(Kalkulator!$B$56:$B$60,MATCH(C3,Kalkulator!$A$56:$A$60,0))</f>
        <v>120</v>
      </c>
      <c r="D7" s="119">
        <f>INDEX(Kalkulator!$B$56:$B$60,MATCH(D3,Kalkulator!$A$56:$A$60,0))</f>
        <v>100</v>
      </c>
      <c r="E7" s="119">
        <f>INDEX(Kalkulator!$B$56:$B$60,MATCH(E3,Kalkulator!$A$56:$A$60,0))</f>
        <v>90</v>
      </c>
      <c r="F7" s="119">
        <f>INDEX(Kalkulator!$B$56:$B$60,MATCH(F3,Kalkulator!$A$56:$A$60,0))</f>
        <v>80</v>
      </c>
      <c r="G7" s="14" t="s">
        <v>47</v>
      </c>
      <c r="L7" s="117">
        <v>8</v>
      </c>
      <c r="M7" s="117">
        <v>140</v>
      </c>
      <c r="N7" s="117">
        <f>2/10</f>
        <v>0.2</v>
      </c>
      <c r="O7" s="117">
        <f>(191+9)/10</f>
        <v>20</v>
      </c>
      <c r="P7" s="117">
        <f t="shared" si="2"/>
        <v>16</v>
      </c>
      <c r="Q7" s="118">
        <v>70</v>
      </c>
      <c r="R7" s="118">
        <v>34</v>
      </c>
      <c r="S7" s="118">
        <v>9</v>
      </c>
    </row>
    <row r="8" spans="1:19" x14ac:dyDescent="0.2">
      <c r="A8" s="14" t="s">
        <v>135</v>
      </c>
      <c r="B8" s="131">
        <f>INDEX(Kalkulator!$C$56:$C$60,MATCH(B3,Kalkulator!$A$56:$A$60,0))</f>
        <v>0</v>
      </c>
      <c r="C8" s="131">
        <f>INDEX(Kalkulator!$C$56:$C$60,MATCH(C3,Kalkulator!$A$56:$A$60,0))</f>
        <v>0</v>
      </c>
      <c r="D8" s="131">
        <f>INDEX(Kalkulator!$C$56:$C$60,MATCH(D3,Kalkulator!$A$56:$A$60,0))</f>
        <v>0</v>
      </c>
      <c r="E8" s="131">
        <f>INDEX(Kalkulator!$C$56:$C$60,MATCH(E3,Kalkulator!$A$56:$A$60,0))</f>
        <v>0</v>
      </c>
      <c r="F8" s="131">
        <f>INDEX(Kalkulator!$C$56:$C$60,MATCH(F3,Kalkulator!$A$56:$A$60,0))</f>
        <v>0</v>
      </c>
      <c r="G8" s="14"/>
      <c r="L8" s="117"/>
      <c r="M8" s="117"/>
      <c r="N8" s="117"/>
      <c r="O8" s="117"/>
      <c r="P8" s="117"/>
      <c r="Q8" s="118"/>
      <c r="R8" s="118"/>
      <c r="S8" s="118"/>
    </row>
    <row r="9" spans="1:19" x14ac:dyDescent="0.2">
      <c r="A9" s="21" t="s">
        <v>48</v>
      </c>
      <c r="B9" s="22">
        <v>2.5000000000000001E-2</v>
      </c>
      <c r="C9" s="22">
        <f>B9</f>
        <v>2.5000000000000001E-2</v>
      </c>
      <c r="D9" s="22">
        <f t="shared" ref="D9:F9" si="4">C9</f>
        <v>2.5000000000000001E-2</v>
      </c>
      <c r="E9" s="22">
        <f t="shared" si="4"/>
        <v>2.5000000000000001E-2</v>
      </c>
      <c r="F9" s="22">
        <f t="shared" si="4"/>
        <v>2.5000000000000001E-2</v>
      </c>
      <c r="G9" s="14"/>
    </row>
    <row r="10" spans="1:19" x14ac:dyDescent="0.2">
      <c r="A10" s="15" t="s">
        <v>49</v>
      </c>
      <c r="B10" s="120"/>
      <c r="C10" s="120"/>
      <c r="D10" s="120"/>
      <c r="E10" s="120"/>
      <c r="F10" s="120"/>
      <c r="G10" s="15"/>
    </row>
    <row r="11" spans="1:19" x14ac:dyDescent="0.2">
      <c r="A11" s="14"/>
      <c r="B11" s="14"/>
      <c r="C11" s="14"/>
      <c r="D11" s="14"/>
      <c r="E11" s="14"/>
      <c r="F11" s="14"/>
      <c r="G11" s="110"/>
    </row>
    <row r="12" spans="1:19" x14ac:dyDescent="0.2">
      <c r="A12" s="14" t="s">
        <v>50</v>
      </c>
      <c r="B12" s="24">
        <f>Kalkulator!$B$38</f>
        <v>500</v>
      </c>
      <c r="C12" s="24">
        <f>Kalkulator!$B$38</f>
        <v>500</v>
      </c>
      <c r="D12" s="24">
        <f>Kalkulator!$B$38</f>
        <v>500</v>
      </c>
      <c r="E12" s="24">
        <f>Kalkulator!$B$38</f>
        <v>500</v>
      </c>
      <c r="F12" s="24">
        <f>Kalkulator!$B$38</f>
        <v>500</v>
      </c>
      <c r="G12" s="14" t="s">
        <v>71</v>
      </c>
    </row>
    <row r="13" spans="1:19" x14ac:dyDescent="0.2">
      <c r="A13" s="14" t="s">
        <v>51</v>
      </c>
      <c r="B13" s="24">
        <f>Kalkulator!$B$39</f>
        <v>220</v>
      </c>
      <c r="C13" s="24">
        <f>Kalkulator!$B$39</f>
        <v>220</v>
      </c>
      <c r="D13" s="24">
        <f>Kalkulator!$B$39</f>
        <v>220</v>
      </c>
      <c r="E13" s="24">
        <f>Kalkulator!$B$39</f>
        <v>220</v>
      </c>
      <c r="F13" s="24">
        <f>Kalkulator!$B$39</f>
        <v>220</v>
      </c>
      <c r="G13" s="14" t="s">
        <v>71</v>
      </c>
      <c r="L13" s="110" t="s">
        <v>1</v>
      </c>
      <c r="M13" s="110">
        <f>B3</f>
        <v>8</v>
      </c>
      <c r="N13" s="110">
        <f t="shared" ref="N13:P13" si="5">C3</f>
        <v>11</v>
      </c>
      <c r="O13" s="110">
        <f t="shared" si="5"/>
        <v>14</v>
      </c>
      <c r="P13" s="110">
        <f t="shared" si="5"/>
        <v>17</v>
      </c>
      <c r="Q13" s="110">
        <f>F3</f>
        <v>20</v>
      </c>
    </row>
    <row r="14" spans="1:19" x14ac:dyDescent="0.2">
      <c r="A14" s="14" t="s">
        <v>52</v>
      </c>
      <c r="B14" s="110"/>
      <c r="C14" s="110"/>
      <c r="D14" s="110"/>
      <c r="E14" s="110"/>
      <c r="F14" s="110"/>
      <c r="G14" s="14" t="s">
        <v>71</v>
      </c>
      <c r="L14" s="110" t="s">
        <v>156</v>
      </c>
      <c r="M14" s="168">
        <f>B4</f>
        <v>156</v>
      </c>
      <c r="N14" s="168">
        <f t="shared" ref="N14:P14" si="6">C4</f>
        <v>216</v>
      </c>
      <c r="O14" s="168">
        <f t="shared" si="6"/>
        <v>255.2</v>
      </c>
      <c r="P14" s="168">
        <f t="shared" si="6"/>
        <v>362.40000000000003</v>
      </c>
      <c r="Q14" s="168">
        <f>F4</f>
        <v>464.00000000000006</v>
      </c>
    </row>
    <row r="15" spans="1:19" x14ac:dyDescent="0.2">
      <c r="B15" s="110"/>
      <c r="C15" s="110"/>
      <c r="D15" s="110"/>
      <c r="E15" s="110"/>
      <c r="F15" s="110"/>
      <c r="G15" s="110"/>
      <c r="L15" s="110" t="s">
        <v>155</v>
      </c>
      <c r="M15" s="167">
        <f>B7</f>
        <v>140</v>
      </c>
      <c r="N15" s="167">
        <f>C7</f>
        <v>120</v>
      </c>
      <c r="O15" s="167">
        <f>D7</f>
        <v>100</v>
      </c>
      <c r="P15" s="167">
        <f>E7</f>
        <v>90</v>
      </c>
      <c r="Q15" s="167">
        <f>F7</f>
        <v>80</v>
      </c>
    </row>
    <row r="16" spans="1:19" x14ac:dyDescent="0.2">
      <c r="A16" s="121" t="s">
        <v>53</v>
      </c>
      <c r="B16" s="120">
        <f>INDEX('Proddata fra skoghåndbok'!$B$20:$N$24,MATCH(B3,'Proddata fra skoghåndbok'!$A$20:$A$24,),MATCH(B7,'Proddata fra skoghåndbok'!$B$19:$N$19))</f>
        <v>0.7</v>
      </c>
      <c r="C16" s="120">
        <f>INDEX('Proddata fra skoghåndbok'!$B$20:$N$24,MATCH(C3,'Proddata fra skoghåndbok'!$A$20:$A$24,),MATCH(C7,'Proddata fra skoghåndbok'!$B$19:$N$19))</f>
        <v>0.7</v>
      </c>
      <c r="D16" s="120">
        <f>INDEX('Proddata fra skoghåndbok'!$B$20:$N$24,MATCH(D3,'Proddata fra skoghåndbok'!$A$20:$A$24,),MATCH(D7,'Proddata fra skoghåndbok'!$B$19:$N$19))</f>
        <v>0.7</v>
      </c>
      <c r="E16" s="120">
        <f>INDEX('Proddata fra skoghåndbok'!$B$20:$N$24,MATCH(E3,'Proddata fra skoghåndbok'!$A$20:$A$24,),MATCH(E7,'Proddata fra skoghåndbok'!$B$19:$N$19))</f>
        <v>0.7</v>
      </c>
      <c r="F16" s="120">
        <f>INDEX('Proddata fra skoghåndbok'!$B$20:$N$24,MATCH(F3,'Proddata fra skoghåndbok'!$A$20:$A$24,),MATCH(F7,'Proddata fra skoghåndbok'!$B$19:$N$19))</f>
        <v>0.7</v>
      </c>
      <c r="G16" s="14"/>
      <c r="L16" s="110" t="s">
        <v>152</v>
      </c>
      <c r="M16" s="110">
        <f t="shared" ref="M16:Q17" si="7">B12</f>
        <v>500</v>
      </c>
      <c r="N16" s="110">
        <f t="shared" si="7"/>
        <v>500</v>
      </c>
      <c r="O16" s="110">
        <f t="shared" si="7"/>
        <v>500</v>
      </c>
      <c r="P16" s="110">
        <f t="shared" si="7"/>
        <v>500</v>
      </c>
      <c r="Q16" s="110">
        <f t="shared" si="7"/>
        <v>500</v>
      </c>
    </row>
    <row r="17" spans="1:19" x14ac:dyDescent="0.2">
      <c r="A17" s="14" t="s">
        <v>54</v>
      </c>
      <c r="B17" s="122">
        <f>1-B16</f>
        <v>0.30000000000000004</v>
      </c>
      <c r="C17" s="122">
        <f>1-C16</f>
        <v>0.30000000000000004</v>
      </c>
      <c r="D17" s="122">
        <f t="shared" ref="D17:F17" si="8">1-D16</f>
        <v>0.30000000000000004</v>
      </c>
      <c r="E17" s="122">
        <f t="shared" si="8"/>
        <v>0.30000000000000004</v>
      </c>
      <c r="F17" s="122">
        <f t="shared" si="8"/>
        <v>0.30000000000000004</v>
      </c>
      <c r="G17" s="14"/>
      <c r="L17" s="110" t="s">
        <v>153</v>
      </c>
      <c r="M17" s="110">
        <f t="shared" si="7"/>
        <v>220</v>
      </c>
      <c r="N17" s="110">
        <f t="shared" si="7"/>
        <v>220</v>
      </c>
      <c r="O17" s="110">
        <f t="shared" si="7"/>
        <v>220</v>
      </c>
      <c r="P17" s="110">
        <f t="shared" si="7"/>
        <v>220</v>
      </c>
      <c r="Q17" s="110">
        <f t="shared" si="7"/>
        <v>220</v>
      </c>
    </row>
    <row r="18" spans="1:19" x14ac:dyDescent="0.2">
      <c r="A18" s="121" t="s">
        <v>55</v>
      </c>
      <c r="B18" s="121"/>
      <c r="C18" s="121"/>
      <c r="D18" s="121"/>
      <c r="E18" s="121"/>
      <c r="F18" s="121"/>
      <c r="G18" s="14" t="s">
        <v>71</v>
      </c>
      <c r="L18" s="110" t="s">
        <v>31</v>
      </c>
      <c r="M18" s="169">
        <f>B16</f>
        <v>0.7</v>
      </c>
      <c r="N18" s="169">
        <f>C16</f>
        <v>0.7</v>
      </c>
      <c r="O18" s="169">
        <f>D16</f>
        <v>0.7</v>
      </c>
      <c r="P18" s="169">
        <f>E16</f>
        <v>0.7</v>
      </c>
      <c r="Q18" s="169">
        <f>F16</f>
        <v>0.7</v>
      </c>
    </row>
    <row r="19" spans="1:19" x14ac:dyDescent="0.2">
      <c r="A19" s="14" t="s">
        <v>56</v>
      </c>
      <c r="B19" s="121"/>
      <c r="C19" s="121"/>
      <c r="D19" s="121"/>
      <c r="E19" s="121"/>
      <c r="F19" s="121"/>
      <c r="G19" s="14" t="str">
        <f>G18</f>
        <v>NOK/m3</v>
      </c>
      <c r="L19" s="110" t="s">
        <v>157</v>
      </c>
      <c r="M19" s="170">
        <f>B38/10</f>
        <v>204.58640648943495</v>
      </c>
      <c r="N19" s="170">
        <f>C38/10</f>
        <v>464.17659110795319</v>
      </c>
      <c r="O19" s="170">
        <f>D38/10</f>
        <v>898.64354996516613</v>
      </c>
      <c r="P19" s="170">
        <f>E38/10</f>
        <v>1633.554522666542</v>
      </c>
      <c r="Q19" s="170">
        <f>F38/10</f>
        <v>2677.3310816979001</v>
      </c>
    </row>
    <row r="20" spans="1:19" x14ac:dyDescent="0.2">
      <c r="A20" s="121"/>
      <c r="B20" s="123"/>
      <c r="C20" s="123"/>
      <c r="D20" s="123"/>
      <c r="E20" s="123"/>
      <c r="F20" s="123"/>
      <c r="G20" s="14"/>
      <c r="L20" s="110" t="s">
        <v>154</v>
      </c>
      <c r="M20" s="171">
        <f>B39</f>
        <v>1.0325514660303481</v>
      </c>
      <c r="N20" s="171">
        <f>C39</f>
        <v>1.0544717201381624</v>
      </c>
      <c r="O20" s="171">
        <f>D39</f>
        <v>1.0924751461510065</v>
      </c>
      <c r="P20" s="171">
        <f>E39</f>
        <v>1.1215235701861161</v>
      </c>
      <c r="Q20" s="171">
        <f>F39</f>
        <v>1.1610418034869314</v>
      </c>
    </row>
    <row r="21" spans="1:19" x14ac:dyDescent="0.2">
      <c r="A21" s="14"/>
      <c r="B21" s="14"/>
      <c r="C21" s="14"/>
      <c r="D21" s="14"/>
      <c r="E21" s="14"/>
      <c r="F21" s="14"/>
      <c r="G21" s="14"/>
      <c r="L21" s="110" t="s">
        <v>159</v>
      </c>
      <c r="M21" s="168">
        <f>M19*M20</f>
        <v>211.24599395054679</v>
      </c>
      <c r="N21" s="168">
        <f t="shared" ref="N21:Q21" si="9">N19*N20</f>
        <v>489.46108847347182</v>
      </c>
      <c r="O21" s="168">
        <f t="shared" si="9"/>
        <v>981.74574358585414</v>
      </c>
      <c r="P21" s="168">
        <f t="shared" si="9"/>
        <v>1832.069900354657</v>
      </c>
      <c r="Q21" s="168">
        <f t="shared" si="9"/>
        <v>3108.4933076261468</v>
      </c>
      <c r="S21" s="110" t="s">
        <v>158</v>
      </c>
    </row>
    <row r="22" spans="1:19" x14ac:dyDescent="0.2">
      <c r="A22" s="14"/>
      <c r="B22" s="121"/>
      <c r="C22" s="121"/>
      <c r="D22" s="121"/>
      <c r="E22" s="121"/>
      <c r="F22" s="121"/>
      <c r="G22" s="14"/>
    </row>
    <row r="23" spans="1:19" x14ac:dyDescent="0.2">
      <c r="A23" s="14" t="s">
        <v>57</v>
      </c>
      <c r="B23" s="121">
        <v>0</v>
      </c>
      <c r="C23" s="121">
        <v>0</v>
      </c>
      <c r="D23" s="121">
        <f>C23</f>
        <v>0</v>
      </c>
      <c r="E23" s="121">
        <f t="shared" ref="E23:F23" si="10">D23</f>
        <v>0</v>
      </c>
      <c r="F23" s="121">
        <f t="shared" si="10"/>
        <v>0</v>
      </c>
      <c r="G23" s="14" t="s">
        <v>42</v>
      </c>
    </row>
    <row r="24" spans="1:19" x14ac:dyDescent="0.2">
      <c r="A24" s="14" t="s">
        <v>58</v>
      </c>
      <c r="B24" s="111">
        <v>0.1</v>
      </c>
      <c r="C24" s="111">
        <v>0.1</v>
      </c>
      <c r="D24" s="111">
        <v>0.1</v>
      </c>
      <c r="E24" s="111">
        <v>0.1</v>
      </c>
      <c r="F24" s="111">
        <v>0.1</v>
      </c>
      <c r="G24" s="14"/>
    </row>
    <row r="25" spans="1:19" x14ac:dyDescent="0.2">
      <c r="A25" s="14" t="s">
        <v>59</v>
      </c>
      <c r="B25" s="14">
        <v>0</v>
      </c>
      <c r="C25" s="14">
        <v>0</v>
      </c>
      <c r="D25" s="14">
        <f>C25</f>
        <v>0</v>
      </c>
      <c r="E25" s="14">
        <f t="shared" ref="E25:F25" si="11">D25</f>
        <v>0</v>
      </c>
      <c r="F25" s="14">
        <f t="shared" si="11"/>
        <v>0</v>
      </c>
      <c r="G25" s="14" t="s">
        <v>74</v>
      </c>
    </row>
    <row r="26" spans="1:19" x14ac:dyDescent="0.2">
      <c r="A26" s="14" t="s">
        <v>60</v>
      </c>
      <c r="B26" s="121">
        <v>45</v>
      </c>
      <c r="C26" s="121">
        <v>45</v>
      </c>
      <c r="D26" s="121">
        <v>45</v>
      </c>
      <c r="E26" s="121">
        <v>45</v>
      </c>
      <c r="F26" s="121">
        <v>45</v>
      </c>
      <c r="G26" s="14" t="s">
        <v>47</v>
      </c>
    </row>
    <row r="27" spans="1:19" x14ac:dyDescent="0.2">
      <c r="A27" s="14" t="s">
        <v>61</v>
      </c>
      <c r="B27" s="121">
        <f>Kalkulator!$B$62*10</f>
        <v>0</v>
      </c>
      <c r="C27" s="121">
        <f>B27</f>
        <v>0</v>
      </c>
      <c r="D27" s="121">
        <f>C27</f>
        <v>0</v>
      </c>
      <c r="E27" s="121">
        <f>D27</f>
        <v>0</v>
      </c>
      <c r="F27" s="121">
        <f>E27</f>
        <v>0</v>
      </c>
      <c r="G27" s="14" t="s">
        <v>74</v>
      </c>
    </row>
    <row r="28" spans="1:19" x14ac:dyDescent="0.2">
      <c r="A28" s="14" t="s">
        <v>62</v>
      </c>
      <c r="B28" s="121">
        <v>40</v>
      </c>
      <c r="C28" s="121">
        <v>30</v>
      </c>
      <c r="D28" s="121">
        <v>25</v>
      </c>
      <c r="E28" s="121">
        <v>15</v>
      </c>
      <c r="F28" s="121">
        <v>10</v>
      </c>
      <c r="G28" s="14" t="s">
        <v>47</v>
      </c>
    </row>
    <row r="29" spans="1:19" x14ac:dyDescent="0.2">
      <c r="A29" s="23" t="s">
        <v>63</v>
      </c>
      <c r="B29" s="23">
        <f>Kalkulator!$B$63*10</f>
        <v>0</v>
      </c>
      <c r="C29" s="23">
        <f>B29</f>
        <v>0</v>
      </c>
      <c r="D29" s="121">
        <f>C29</f>
        <v>0</v>
      </c>
      <c r="E29" s="121">
        <f>D29</f>
        <v>0</v>
      </c>
      <c r="F29" s="121">
        <f>E29</f>
        <v>0</v>
      </c>
      <c r="G29" s="14" t="s">
        <v>64</v>
      </c>
    </row>
    <row r="30" spans="1:19" x14ac:dyDescent="0.2">
      <c r="A30" s="15"/>
      <c r="B30" s="15"/>
      <c r="C30" s="15"/>
      <c r="D30" s="15"/>
      <c r="E30" s="15"/>
      <c r="F30" s="15"/>
      <c r="G30" s="14"/>
    </row>
    <row r="31" spans="1:19" x14ac:dyDescent="0.2">
      <c r="A31" s="15"/>
      <c r="B31" s="15"/>
      <c r="C31" s="15"/>
      <c r="D31" s="15"/>
      <c r="E31" s="15"/>
      <c r="F31" s="15"/>
      <c r="G31" s="14"/>
    </row>
    <row r="32" spans="1:19" x14ac:dyDescent="0.2">
      <c r="A32" s="14" t="s">
        <v>65</v>
      </c>
      <c r="B32" s="15">
        <f>(B12*B16+B13*B17+B14*(1-B17))-(B18+B19)</f>
        <v>416</v>
      </c>
      <c r="C32" s="15">
        <f>(C12*C16+C13*C17+C14*(1-C17))-(C18+C19)</f>
        <v>416</v>
      </c>
      <c r="D32" s="15">
        <f t="shared" ref="D32:F32" si="12">(D12*D16+D13*D17+D14*(1-D17))-(D18+D19)</f>
        <v>416</v>
      </c>
      <c r="E32" s="15">
        <f t="shared" si="12"/>
        <v>416</v>
      </c>
      <c r="F32" s="15">
        <f t="shared" si="12"/>
        <v>416</v>
      </c>
      <c r="G32" s="14"/>
    </row>
    <row r="33" spans="1:7" x14ac:dyDescent="0.2">
      <c r="A33" s="15" t="s">
        <v>66</v>
      </c>
      <c r="B33" s="14">
        <f t="shared" ref="B33" si="13">B32*B4</f>
        <v>64896</v>
      </c>
      <c r="C33" s="14">
        <f t="shared" ref="C33:F33" si="14">C32*C4</f>
        <v>89856</v>
      </c>
      <c r="D33" s="14">
        <f t="shared" si="14"/>
        <v>106163.2</v>
      </c>
      <c r="E33" s="14">
        <f t="shared" si="14"/>
        <v>150758.40000000002</v>
      </c>
      <c r="F33" s="14">
        <f t="shared" si="14"/>
        <v>193024.00000000003</v>
      </c>
      <c r="G33" s="14" t="s">
        <v>113</v>
      </c>
    </row>
    <row r="34" spans="1:7" x14ac:dyDescent="0.2">
      <c r="A34" s="15"/>
      <c r="B34" s="15"/>
      <c r="C34" s="15"/>
      <c r="D34" s="15"/>
      <c r="E34" s="15"/>
      <c r="F34" s="15"/>
      <c r="G34" s="14"/>
    </row>
    <row r="35" spans="1:7" x14ac:dyDescent="0.2">
      <c r="A35" s="14" t="s">
        <v>67</v>
      </c>
      <c r="B35" s="14">
        <f>(B12*B24+B13*(1-B24))-B25</f>
        <v>248</v>
      </c>
      <c r="C35" s="14">
        <f t="shared" ref="C35:F35" si="15">(C12*C24+C13*(1-C24))-C25</f>
        <v>248</v>
      </c>
      <c r="D35" s="14">
        <f t="shared" si="15"/>
        <v>248</v>
      </c>
      <c r="E35" s="14">
        <f t="shared" si="15"/>
        <v>248</v>
      </c>
      <c r="F35" s="14">
        <f t="shared" si="15"/>
        <v>248</v>
      </c>
      <c r="G35" s="14" t="s">
        <v>71</v>
      </c>
    </row>
    <row r="36" spans="1:7" x14ac:dyDescent="0.2">
      <c r="A36" s="14" t="s">
        <v>68</v>
      </c>
      <c r="B36" s="15">
        <f>B35*B23</f>
        <v>0</v>
      </c>
      <c r="C36" s="15">
        <f>C35*C23</f>
        <v>0</v>
      </c>
      <c r="D36" s="15">
        <f t="shared" ref="D36:F36" si="16">D35*D23</f>
        <v>0</v>
      </c>
      <c r="E36" s="15">
        <f t="shared" si="16"/>
        <v>0</v>
      </c>
      <c r="F36" s="15">
        <f t="shared" si="16"/>
        <v>0</v>
      </c>
      <c r="G36" s="14"/>
    </row>
    <row r="37" spans="1:7" x14ac:dyDescent="0.2">
      <c r="A37" s="14"/>
      <c r="B37" s="14"/>
      <c r="C37" s="14"/>
      <c r="D37" s="14"/>
      <c r="E37" s="14"/>
      <c r="F37" s="14"/>
      <c r="G37" s="14"/>
    </row>
    <row r="38" spans="1:7" x14ac:dyDescent="0.2">
      <c r="A38" s="14" t="s">
        <v>69</v>
      </c>
      <c r="B38" s="14">
        <f t="shared" ref="B38" si="17">B33/(1+B9)^B7-B21/(1+B9)^B22+B36/(1+B9)^B26-B27/(1+B9)^B28-B29</f>
        <v>2045.8640648943494</v>
      </c>
      <c r="C38" s="14">
        <f t="shared" ref="C38:F38" si="18">C33/(1+C9)^C7-C21/(1+C9)^C22+C36/(1+C9)^C26-C27/(1+C9)^C28-C29</f>
        <v>4641.7659110795321</v>
      </c>
      <c r="D38" s="14">
        <f t="shared" si="18"/>
        <v>8986.4354996516613</v>
      </c>
      <c r="E38" s="14">
        <f t="shared" si="18"/>
        <v>16335.545226665419</v>
      </c>
      <c r="F38" s="14">
        <f t="shared" si="18"/>
        <v>26773.310816979003</v>
      </c>
      <c r="G38" s="112">
        <v>2.5000000000000001E-2</v>
      </c>
    </row>
    <row r="39" spans="1:7" x14ac:dyDescent="0.2">
      <c r="A39" s="15" t="s">
        <v>70</v>
      </c>
      <c r="B39" s="113">
        <f t="shared" ref="B39" si="19">((1+B9)^B7)/((1+B9)^B7-1)</f>
        <v>1.0325514660303481</v>
      </c>
      <c r="C39" s="113">
        <f t="shared" ref="C39:F39" si="20">((1+C9)^C7)/((1+C9)^C7-1)</f>
        <v>1.0544717201381624</v>
      </c>
      <c r="D39" s="113">
        <f t="shared" si="20"/>
        <v>1.0924751461510065</v>
      </c>
      <c r="E39" s="113">
        <f t="shared" si="20"/>
        <v>1.1215235701861161</v>
      </c>
      <c r="F39" s="113">
        <f t="shared" si="20"/>
        <v>1.1610418034869314</v>
      </c>
      <c r="G39" s="14"/>
    </row>
    <row r="40" spans="1:7" x14ac:dyDescent="0.2">
      <c r="A40" s="23" t="s">
        <v>38</v>
      </c>
      <c r="B40" s="114">
        <f>(B38*B39/10)*(1-Kalkulator!$B$64)</f>
        <v>211.24599395054679</v>
      </c>
      <c r="C40" s="114">
        <f>(C38*C39/10)*(1-Kalkulator!$B$64)</f>
        <v>489.46108847347188</v>
      </c>
      <c r="D40" s="114">
        <f>(D38*D39/10)*(1-Kalkulator!$B$64)</f>
        <v>981.74574358585414</v>
      </c>
      <c r="E40" s="114">
        <f>(E38*E39/10)*(1-Kalkulator!$B$64)</f>
        <v>1832.0699003546567</v>
      </c>
      <c r="F40" s="114">
        <f>(F38*F39/10)*(1-Kalkulator!$B$64)</f>
        <v>3108.4933076261468</v>
      </c>
    </row>
    <row r="41" spans="1:7" x14ac:dyDescent="0.2">
      <c r="A41" s="15"/>
      <c r="B41" s="15"/>
      <c r="C41" s="15"/>
      <c r="D41" s="15"/>
      <c r="E41" s="15"/>
      <c r="F41" s="15"/>
    </row>
    <row r="43" spans="1:7" x14ac:dyDescent="0.2">
      <c r="A43" s="14" t="s">
        <v>69</v>
      </c>
      <c r="B43" s="14">
        <f>B33/(1+$G$43)^B7-B21/(1+$G$43)^B22+B36/(1+$G$43)^B26-B27/(1+$G$43)^B28-B29</f>
        <v>2045.8640648943494</v>
      </c>
      <c r="C43" s="14">
        <f t="shared" ref="C43:F43" si="21">C33/(1+$G$43)^C7-C21/(1+$G$43)^C22+C36/(1+$G$43)^C26-C27/(1+$G$43)^C28-C29</f>
        <v>4641.7659110795321</v>
      </c>
      <c r="D43" s="14">
        <f t="shared" si="21"/>
        <v>8986.4354996516613</v>
      </c>
      <c r="E43" s="14">
        <f t="shared" si="21"/>
        <v>16335.545226665419</v>
      </c>
      <c r="F43" s="14">
        <f t="shared" si="21"/>
        <v>26773.310816979003</v>
      </c>
      <c r="G43" s="112">
        <v>2.5000000000000001E-2</v>
      </c>
    </row>
    <row r="44" spans="1:7" x14ac:dyDescent="0.2">
      <c r="A44" s="15" t="s">
        <v>70</v>
      </c>
      <c r="B44" s="113">
        <f>((1+$G$43)^B7)/((1+$G$43)^B7-1)</f>
        <v>1.0325514660303481</v>
      </c>
      <c r="C44" s="113">
        <f t="shared" ref="C44:F44" si="22">((1+$G$43)^C7)/((1+$G$43)^C7-1)</f>
        <v>1.0544717201381624</v>
      </c>
      <c r="D44" s="113">
        <f t="shared" si="22"/>
        <v>1.0924751461510065</v>
      </c>
      <c r="E44" s="113">
        <f t="shared" si="22"/>
        <v>1.1215235701861161</v>
      </c>
      <c r="F44" s="113">
        <f t="shared" si="22"/>
        <v>1.1610418034869314</v>
      </c>
    </row>
    <row r="45" spans="1:7" x14ac:dyDescent="0.2">
      <c r="A45" s="23" t="s">
        <v>38</v>
      </c>
      <c r="B45" s="114">
        <f>(B43*B44/10)*(1-Kalkulator!$B$64)</f>
        <v>211.24599395054679</v>
      </c>
      <c r="C45" s="114">
        <f>(C43*C44/10)*(1-Kalkulator!$B$64)</f>
        <v>489.46108847347188</v>
      </c>
      <c r="D45" s="114">
        <f>(D43*D44/10)*(1-Kalkulator!$B$64)</f>
        <v>981.74574358585414</v>
      </c>
      <c r="E45" s="114">
        <f>(E43*E44/10)*(1-Kalkulator!$B$64)</f>
        <v>1832.0699003546567</v>
      </c>
      <c r="F45" s="114">
        <f>(F43*F44/10)*(1-Kalkulator!$B$64)</f>
        <v>3108.4933076261468</v>
      </c>
    </row>
    <row r="47" spans="1:7" x14ac:dyDescent="0.2">
      <c r="A47" s="14" t="s">
        <v>69</v>
      </c>
      <c r="B47" s="14">
        <f>B33/(1+$G$47)^B7-B21/(1+$G$47)^B22+B36/(1+$G$47)^B26-B27/(1+$G$47)^B28-B29</f>
        <v>1035.1575886709213</v>
      </c>
      <c r="C47" s="14">
        <f>C33/(1+$G$47)^C7-C21/(1+$G$47)^C22+C36/(1+$G$47)^C26-C27/(1+$G$47)^C28-C29</f>
        <v>2588.6904238410234</v>
      </c>
      <c r="D47" s="14">
        <f>D33/(1+$G$47)^D7-D21/(1+$G$47)^D22+D36/(1+$G$47)^D26-D27/(1+$G$47)^D28-D29</f>
        <v>5523.9727835857275</v>
      </c>
      <c r="E47" s="14">
        <f>E33/(1+$G$47)^E7-E21/(1+$G$47)^E22+E36/(1+$G$47)^E26-E27/(1+$G$47)^E28-E29</f>
        <v>10542.201093476917</v>
      </c>
      <c r="F47" s="14">
        <f>F33/(1+$G$47)^F7-F21/(1+$G$47)^F22+F36/(1+$G$47)^F26-F27/(1+$G$47)^F28-F29</f>
        <v>18139.835098985921</v>
      </c>
      <c r="G47" s="112">
        <v>0.03</v>
      </c>
    </row>
    <row r="48" spans="1:7" x14ac:dyDescent="0.2">
      <c r="A48" s="15" t="s">
        <v>70</v>
      </c>
      <c r="B48" s="113">
        <f>((1+$G$47)^B7)/((1+$G$47)^B7-1)</f>
        <v>1.0162095824230355</v>
      </c>
      <c r="C48" s="113">
        <f>((1+$G$47)^C7)/((1+$G$47)^C7-1)</f>
        <v>1.0296639192432289</v>
      </c>
      <c r="D48" s="113">
        <f>((1+$G$47)^D7)/((1+$G$47)^D7-1)</f>
        <v>1.054888863282972</v>
      </c>
      <c r="E48" s="113">
        <f>((1+$G$47)^E7)/((1+$G$47)^E7-1)</f>
        <v>1.0751853293391944</v>
      </c>
      <c r="F48" s="113">
        <f>((1+$G$47)^F7)/((1+$G$47)^F7-1)</f>
        <v>1.1037248575893261</v>
      </c>
    </row>
    <row r="49" spans="1:7" x14ac:dyDescent="0.2">
      <c r="A49" s="23" t="s">
        <v>38</v>
      </c>
      <c r="B49" s="114">
        <f>(B47*B48/10)*(1-Kalkulator!$B$64)</f>
        <v>105.19370609253133</v>
      </c>
      <c r="C49" s="114">
        <f>(C47*C48/10)*(1-Kalkulator!$B$64)</f>
        <v>266.54811275195635</v>
      </c>
      <c r="D49" s="114">
        <f>(D47*D48/10)*(1-Kalkulator!$B$64)</f>
        <v>582.71773704828229</v>
      </c>
      <c r="E49" s="114">
        <f>(E47*E48/10)*(1-Kalkulator!$B$64)</f>
        <v>1133.4819954649995</v>
      </c>
      <c r="F49" s="114">
        <f>(F47*F48/10)*(1-Kalkulator!$B$64)</f>
        <v>2002.1386911322097</v>
      </c>
    </row>
    <row r="51" spans="1:7" x14ac:dyDescent="0.2">
      <c r="A51" s="14" t="s">
        <v>69</v>
      </c>
      <c r="B51" s="14">
        <f>B33/(1+$G$51)^B7-B21/(1+$G$51)^B22+B36/(1+$G$51)^B26-B27/(1+$G$51)^B28-B29</f>
        <v>267.63963390534252</v>
      </c>
      <c r="C51" s="14">
        <f>C33/(1+$G$51)^C7-C21/(1+$G$51)^C22+C36/(1+$G$51)^C26-C27/(1+$G$51)^C28-C29</f>
        <v>811.9819327056764</v>
      </c>
      <c r="D51" s="14">
        <f>D33/(1+$G$51)^D7-D21/(1+$G$51)^D22+D36/(1+$G$51)^D26-D27/(1+$G$51)^D28-D29</f>
        <v>2102.0356186221329</v>
      </c>
      <c r="E51" s="14">
        <f>E33/(1+$G$51)^E7-E21/(1+$G$51)^E22+E36/(1+$G$51)^E26-E27/(1+$G$51)^E28-E29</f>
        <v>4418.5622998607369</v>
      </c>
      <c r="F51" s="14">
        <f>F33/(1+$G$51)^F7-F21/(1+$G$51)^F22+F36/(1+$G$51)^F26-F27/(1+$G$51)^F28-F29</f>
        <v>8374.2161662609633</v>
      </c>
      <c r="G51" s="115">
        <v>0.04</v>
      </c>
    </row>
    <row r="52" spans="1:7" x14ac:dyDescent="0.2">
      <c r="A52" s="15" t="s">
        <v>70</v>
      </c>
      <c r="B52" s="113">
        <f>((1+$G$51)^B7)/((1+$G$51)^B7-1)</f>
        <v>1.0041412103353584</v>
      </c>
      <c r="C52" s="113">
        <f>((1+$G$51)^C7)/((1+$G$51)^C7-1)</f>
        <v>1.0091188824396045</v>
      </c>
      <c r="D52" s="113">
        <f>((1+$G$51)^D7)/((1+$G$51)^D7-1)</f>
        <v>1.0202000009428907</v>
      </c>
      <c r="E52" s="113">
        <f>((1+$G$51)^E7)/((1+$G$51)^E7-1)</f>
        <v>1.0301938444739476</v>
      </c>
      <c r="F52" s="113">
        <f>((1+$G$51)^F7)/((1+$G$51)^F7-1)</f>
        <v>1.0453518871909495</v>
      </c>
    </row>
    <row r="53" spans="1:7" x14ac:dyDescent="0.2">
      <c r="A53" s="23" t="s">
        <v>38</v>
      </c>
      <c r="B53" s="114">
        <f>(B51*B52/10)*(1-Kalkulator!$B$64)</f>
        <v>26.874798592342284</v>
      </c>
      <c r="C53" s="114">
        <f>(C51*C52/10)*(1-Kalkulator!$B$64)</f>
        <v>81.93863004931022</v>
      </c>
      <c r="D53" s="114">
        <f>(D51*D52/10)*(1-Kalkulator!$B$64)</f>
        <v>214.44967401002896</v>
      </c>
      <c r="E53" s="114">
        <f>(E51*E52/10)*(1-Kalkulator!$B$64)</f>
        <v>455.197568274118</v>
      </c>
      <c r="F53" s="114">
        <f>(F51*F52/10)*(1-Kalkulator!$B$64)</f>
        <v>875.40026731458568</v>
      </c>
    </row>
  </sheetData>
  <conditionalFormatting sqref="B40:F40">
    <cfRule type="cellIs" dxfId="3" priority="4" operator="lessThan">
      <formula>0</formula>
    </cfRule>
  </conditionalFormatting>
  <conditionalFormatting sqref="B49:F49">
    <cfRule type="cellIs" dxfId="2" priority="3" operator="lessThan">
      <formula>0</formula>
    </cfRule>
  </conditionalFormatting>
  <conditionalFormatting sqref="B53:F53">
    <cfRule type="cellIs" dxfId="1" priority="2" operator="lessThan">
      <formula>0</formula>
    </cfRule>
  </conditionalFormatting>
  <conditionalFormatting sqref="B45:F4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W18"/>
  <sheetViews>
    <sheetView zoomScale="75" zoomScaleNormal="75" zoomScalePageLayoutView="75" workbookViewId="0">
      <selection activeCell="X41" sqref="X41"/>
    </sheetView>
  </sheetViews>
  <sheetFormatPr baseColWidth="10" defaultColWidth="12.42578125" defaultRowHeight="23.25" x14ac:dyDescent="0.35"/>
  <cols>
    <col min="1" max="3" width="10.28515625" style="58" customWidth="1"/>
    <col min="4" max="4" width="10.28515625" style="60" customWidth="1"/>
    <col min="5" max="5" width="10.28515625" style="58" customWidth="1"/>
    <col min="6" max="6" width="10.28515625" style="60" customWidth="1"/>
    <col min="7" max="7" width="10.28515625" style="58" customWidth="1"/>
    <col min="8" max="8" width="10.28515625" style="60" customWidth="1"/>
    <col min="9" max="9" width="10.28515625" style="58" customWidth="1"/>
    <col min="10" max="10" width="10.28515625" style="60" customWidth="1"/>
    <col min="11" max="11" width="10.28515625" style="58" customWidth="1"/>
    <col min="12" max="12" width="10.28515625" style="60" customWidth="1"/>
    <col min="13" max="13" width="10.28515625" style="58" customWidth="1"/>
    <col min="14" max="14" width="10.28515625" style="60" customWidth="1"/>
    <col min="15" max="15" width="10.28515625" style="58" customWidth="1"/>
    <col min="16" max="16" width="10.28515625" style="60" customWidth="1"/>
    <col min="17" max="17" width="10.28515625" style="58" customWidth="1"/>
    <col min="18" max="18" width="13" style="60" customWidth="1"/>
    <col min="19" max="19" width="12.7109375" style="58" customWidth="1"/>
    <col min="20" max="20" width="13.5703125" style="60" customWidth="1"/>
    <col min="21" max="21" width="12.42578125" style="58" customWidth="1"/>
    <col min="22" max="22" width="12.7109375" style="60" customWidth="1"/>
    <col min="23" max="23" width="15" style="64" bestFit="1" customWidth="1"/>
    <col min="24" max="16384" width="12.42578125" style="58"/>
  </cols>
  <sheetData>
    <row r="1" spans="1:23" s="31" customFormat="1" ht="38.1" customHeight="1" x14ac:dyDescent="0.25">
      <c r="A1" s="257" t="s">
        <v>89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9"/>
      <c r="W1" s="61"/>
    </row>
    <row r="2" spans="1:23" s="31" customFormat="1" ht="33" customHeight="1" thickBot="1" x14ac:dyDescent="0.3">
      <c r="A2" s="260" t="s">
        <v>90</v>
      </c>
      <c r="B2" s="261"/>
      <c r="C2" s="261"/>
      <c r="D2" s="261"/>
      <c r="E2" s="261"/>
      <c r="F2" s="261"/>
      <c r="G2" s="261"/>
      <c r="H2" s="261"/>
      <c r="I2" s="261" t="s">
        <v>91</v>
      </c>
      <c r="J2" s="261"/>
      <c r="K2" s="261"/>
      <c r="L2" s="261"/>
      <c r="M2" s="261"/>
      <c r="N2" s="261"/>
      <c r="O2" s="261"/>
      <c r="P2" s="261"/>
      <c r="Q2" s="261"/>
      <c r="R2" s="261" t="s">
        <v>92</v>
      </c>
      <c r="S2" s="261"/>
      <c r="T2" s="261"/>
      <c r="U2" s="261"/>
      <c r="V2" s="262"/>
      <c r="W2" s="61"/>
    </row>
    <row r="3" spans="1:23" s="31" customFormat="1" ht="54" customHeight="1" thickBot="1" x14ac:dyDescent="0.3">
      <c r="A3" s="263" t="s">
        <v>2</v>
      </c>
      <c r="B3" s="264"/>
      <c r="C3" s="265" t="s">
        <v>93</v>
      </c>
      <c r="D3" s="266"/>
      <c r="E3" s="266"/>
      <c r="F3" s="266"/>
      <c r="G3" s="266"/>
      <c r="H3" s="267"/>
      <c r="I3" s="265" t="s">
        <v>94</v>
      </c>
      <c r="J3" s="266"/>
      <c r="K3" s="266"/>
      <c r="L3" s="267"/>
      <c r="M3" s="265" t="s">
        <v>95</v>
      </c>
      <c r="N3" s="266"/>
      <c r="O3" s="266"/>
      <c r="P3" s="266"/>
      <c r="Q3" s="267"/>
      <c r="R3" s="32" t="s">
        <v>96</v>
      </c>
      <c r="S3" s="33" t="s">
        <v>97</v>
      </c>
      <c r="T3" s="265" t="s">
        <v>98</v>
      </c>
      <c r="U3" s="266"/>
      <c r="V3" s="268"/>
      <c r="W3" s="61"/>
    </row>
    <row r="4" spans="1:23" s="37" customFormat="1" ht="51" customHeight="1" x14ac:dyDescent="0.25">
      <c r="A4" s="34" t="s">
        <v>99</v>
      </c>
      <c r="B4" s="35" t="s">
        <v>100</v>
      </c>
      <c r="C4" s="35" t="s">
        <v>101</v>
      </c>
      <c r="D4" s="35" t="s">
        <v>102</v>
      </c>
      <c r="E4" s="35" t="s">
        <v>103</v>
      </c>
      <c r="F4" s="35" t="s">
        <v>104</v>
      </c>
      <c r="G4" s="35" t="s">
        <v>105</v>
      </c>
      <c r="H4" s="35" t="s">
        <v>106</v>
      </c>
      <c r="I4" s="35" t="s">
        <v>107</v>
      </c>
      <c r="J4" s="35" t="s">
        <v>103</v>
      </c>
      <c r="K4" s="35" t="s">
        <v>104</v>
      </c>
      <c r="L4" s="35" t="s">
        <v>106</v>
      </c>
      <c r="M4" s="35" t="s">
        <v>107</v>
      </c>
      <c r="N4" s="35" t="s">
        <v>103</v>
      </c>
      <c r="O4" s="35" t="s">
        <v>104</v>
      </c>
      <c r="P4" s="35" t="s">
        <v>105</v>
      </c>
      <c r="Q4" s="35" t="s">
        <v>106</v>
      </c>
      <c r="R4" s="35" t="s">
        <v>108</v>
      </c>
      <c r="S4" s="35" t="s">
        <v>109</v>
      </c>
      <c r="T4" s="35" t="s">
        <v>110</v>
      </c>
      <c r="U4" s="35" t="s">
        <v>111</v>
      </c>
      <c r="V4" s="36" t="s">
        <v>109</v>
      </c>
      <c r="W4" s="62"/>
    </row>
    <row r="5" spans="1:23" s="49" customFormat="1" ht="33" customHeight="1" x14ac:dyDescent="0.35">
      <c r="A5" s="38">
        <v>60</v>
      </c>
      <c r="B5" s="39">
        <v>45</v>
      </c>
      <c r="C5" s="40">
        <v>8.8000000000000007</v>
      </c>
      <c r="D5" s="41">
        <v>7.4</v>
      </c>
      <c r="E5" s="40">
        <v>9.8000000000000007</v>
      </c>
      <c r="F5" s="42">
        <v>1600</v>
      </c>
      <c r="G5" s="40">
        <v>12.1</v>
      </c>
      <c r="H5" s="43">
        <v>49</v>
      </c>
      <c r="I5" s="40"/>
      <c r="J5" s="41"/>
      <c r="K5" s="44"/>
      <c r="L5" s="42"/>
      <c r="M5" s="40">
        <v>7.4</v>
      </c>
      <c r="N5" s="41">
        <v>9.8000000000000007</v>
      </c>
      <c r="O5" s="44">
        <f>F5-K5</f>
        <v>1600</v>
      </c>
      <c r="P5" s="41">
        <v>12.1</v>
      </c>
      <c r="Q5" s="45">
        <f>H5-L5</f>
        <v>49</v>
      </c>
      <c r="R5" s="42">
        <v>49</v>
      </c>
      <c r="S5" s="40">
        <f>R5/A5</f>
        <v>0.81666666666666665</v>
      </c>
      <c r="T5" s="46"/>
      <c r="U5" s="47"/>
      <c r="V5" s="48"/>
      <c r="W5" s="63"/>
    </row>
    <row r="6" spans="1:23" s="49" customFormat="1" ht="33" customHeight="1" x14ac:dyDescent="0.35">
      <c r="A6" s="38">
        <v>65</v>
      </c>
      <c r="B6" s="39">
        <v>50</v>
      </c>
      <c r="C6" s="40">
        <v>9.5</v>
      </c>
      <c r="D6" s="41">
        <v>8.1999999999999993</v>
      </c>
      <c r="E6" s="40">
        <v>10.5</v>
      </c>
      <c r="F6" s="42">
        <v>1600</v>
      </c>
      <c r="G6" s="40">
        <v>14</v>
      </c>
      <c r="H6" s="43">
        <v>60</v>
      </c>
      <c r="I6" s="40">
        <v>7.8</v>
      </c>
      <c r="J6" s="41">
        <v>7.4</v>
      </c>
      <c r="K6" s="44">
        <v>31</v>
      </c>
      <c r="L6" s="42">
        <v>0</v>
      </c>
      <c r="M6" s="40">
        <v>8.1999999999999993</v>
      </c>
      <c r="N6" s="41">
        <v>10.6</v>
      </c>
      <c r="O6" s="44">
        <f t="shared" ref="O6:O15" si="0">F6-K6</f>
        <v>1569</v>
      </c>
      <c r="P6" s="41">
        <v>13.8</v>
      </c>
      <c r="Q6" s="45">
        <f t="shared" ref="Q6:Q15" si="1">H6-L6</f>
        <v>60</v>
      </c>
      <c r="R6" s="42">
        <v>60</v>
      </c>
      <c r="S6" s="40">
        <f t="shared" ref="S6:S15" si="2">R6/A6</f>
        <v>0.92307692307692313</v>
      </c>
      <c r="T6" s="50">
        <v>1.5</v>
      </c>
      <c r="U6" s="51">
        <v>0.4</v>
      </c>
      <c r="V6" s="52">
        <v>2.2000000000000002</v>
      </c>
      <c r="W6" s="63">
        <f>(H6-W5)/(B6-B5)</f>
        <v>12</v>
      </c>
    </row>
    <row r="7" spans="1:23" s="49" customFormat="1" ht="33" customHeight="1" x14ac:dyDescent="0.35">
      <c r="A7" s="38">
        <v>75</v>
      </c>
      <c r="B7" s="39">
        <v>60</v>
      </c>
      <c r="C7" s="40">
        <v>10.9</v>
      </c>
      <c r="D7" s="41">
        <v>9.6</v>
      </c>
      <c r="E7" s="40">
        <v>12</v>
      </c>
      <c r="F7" s="42">
        <v>1569</v>
      </c>
      <c r="G7" s="40">
        <v>17.600000000000001</v>
      </c>
      <c r="H7" s="43">
        <v>88</v>
      </c>
      <c r="I7" s="40">
        <v>9</v>
      </c>
      <c r="J7" s="41">
        <v>8.9</v>
      </c>
      <c r="K7" s="44">
        <v>600</v>
      </c>
      <c r="L7" s="42">
        <v>18</v>
      </c>
      <c r="M7" s="40">
        <v>9.6999999999999993</v>
      </c>
      <c r="N7" s="41">
        <v>13.5</v>
      </c>
      <c r="O7" s="44">
        <f t="shared" si="0"/>
        <v>969</v>
      </c>
      <c r="P7" s="41">
        <v>13.9</v>
      </c>
      <c r="Q7" s="45">
        <f t="shared" si="1"/>
        <v>70</v>
      </c>
      <c r="R7" s="42">
        <v>88</v>
      </c>
      <c r="S7" s="40">
        <f t="shared" si="2"/>
        <v>1.1733333333333333</v>
      </c>
      <c r="T7" s="50">
        <v>1.4</v>
      </c>
      <c r="U7" s="51">
        <v>0.4</v>
      </c>
      <c r="V7" s="52">
        <v>2.8</v>
      </c>
      <c r="W7" s="63">
        <f t="shared" ref="W7:W15" si="3">(H7-W6)/(B7-B6)</f>
        <v>7.6</v>
      </c>
    </row>
    <row r="8" spans="1:23" s="49" customFormat="1" ht="33" customHeight="1" x14ac:dyDescent="0.35">
      <c r="A8" s="38">
        <v>85</v>
      </c>
      <c r="B8" s="39">
        <v>70</v>
      </c>
      <c r="C8" s="40">
        <v>12</v>
      </c>
      <c r="D8" s="41">
        <v>11</v>
      </c>
      <c r="E8" s="40">
        <v>15.1</v>
      </c>
      <c r="F8" s="42">
        <v>969</v>
      </c>
      <c r="G8" s="40">
        <v>17.399999999999999</v>
      </c>
      <c r="H8" s="43">
        <v>99</v>
      </c>
      <c r="I8" s="40">
        <v>10.1</v>
      </c>
      <c r="J8" s="41">
        <v>10.6</v>
      </c>
      <c r="K8" s="44">
        <v>38</v>
      </c>
      <c r="L8" s="42">
        <v>2</v>
      </c>
      <c r="M8" s="40">
        <v>11</v>
      </c>
      <c r="N8" s="41">
        <v>15.3</v>
      </c>
      <c r="O8" s="44">
        <f t="shared" si="0"/>
        <v>931</v>
      </c>
      <c r="P8" s="41">
        <v>17</v>
      </c>
      <c r="Q8" s="45">
        <f t="shared" si="1"/>
        <v>97</v>
      </c>
      <c r="R8" s="42">
        <v>117</v>
      </c>
      <c r="S8" s="40">
        <f t="shared" si="2"/>
        <v>1.3764705882352941</v>
      </c>
      <c r="T8" s="50">
        <v>1.6</v>
      </c>
      <c r="U8" s="51">
        <v>0.3</v>
      </c>
      <c r="V8" s="52">
        <v>2.9</v>
      </c>
      <c r="W8" s="63">
        <f t="shared" si="3"/>
        <v>9.14</v>
      </c>
    </row>
    <row r="9" spans="1:23" s="49" customFormat="1" ht="33" customHeight="1" x14ac:dyDescent="0.35">
      <c r="A9" s="38">
        <v>95</v>
      </c>
      <c r="B9" s="39">
        <v>80</v>
      </c>
      <c r="C9" s="40">
        <v>13.1</v>
      </c>
      <c r="D9" s="41">
        <v>12.1</v>
      </c>
      <c r="E9" s="40">
        <v>16.8</v>
      </c>
      <c r="F9" s="42">
        <v>931</v>
      </c>
      <c r="G9" s="40">
        <v>20.7</v>
      </c>
      <c r="H9" s="43">
        <v>128</v>
      </c>
      <c r="I9" s="40">
        <v>11.1</v>
      </c>
      <c r="J9" s="41">
        <v>11.8</v>
      </c>
      <c r="K9" s="44">
        <v>37</v>
      </c>
      <c r="L9" s="42">
        <v>2</v>
      </c>
      <c r="M9" s="40">
        <v>12.1</v>
      </c>
      <c r="N9" s="41">
        <v>17</v>
      </c>
      <c r="O9" s="44">
        <f t="shared" si="0"/>
        <v>894</v>
      </c>
      <c r="P9" s="41">
        <v>20.3</v>
      </c>
      <c r="Q9" s="45">
        <f t="shared" si="1"/>
        <v>126</v>
      </c>
      <c r="R9" s="42">
        <v>148</v>
      </c>
      <c r="S9" s="40">
        <f t="shared" si="2"/>
        <v>1.5578947368421052</v>
      </c>
      <c r="T9" s="50">
        <v>1.6</v>
      </c>
      <c r="U9" s="51">
        <v>0.4</v>
      </c>
      <c r="V9" s="52">
        <v>3.1</v>
      </c>
      <c r="W9" s="63">
        <f t="shared" si="3"/>
        <v>11.885999999999999</v>
      </c>
    </row>
    <row r="10" spans="1:23" s="49" customFormat="1" ht="33" customHeight="1" x14ac:dyDescent="0.35">
      <c r="A10" s="38">
        <v>105</v>
      </c>
      <c r="B10" s="39">
        <v>90</v>
      </c>
      <c r="C10" s="40">
        <v>13.9</v>
      </c>
      <c r="D10" s="41">
        <v>13.1</v>
      </c>
      <c r="E10" s="40">
        <v>18.399999999999999</v>
      </c>
      <c r="F10" s="42">
        <v>894</v>
      </c>
      <c r="G10" s="40">
        <v>23.9</v>
      </c>
      <c r="H10" s="43">
        <v>158</v>
      </c>
      <c r="I10" s="40">
        <v>12.4</v>
      </c>
      <c r="J10" s="41">
        <v>14.8</v>
      </c>
      <c r="K10" s="44">
        <v>350</v>
      </c>
      <c r="L10" s="42">
        <v>39</v>
      </c>
      <c r="M10" s="40">
        <v>13.3</v>
      </c>
      <c r="N10" s="41">
        <v>20.399999999999999</v>
      </c>
      <c r="O10" s="44">
        <f t="shared" si="0"/>
        <v>544</v>
      </c>
      <c r="P10" s="41">
        <v>17.8</v>
      </c>
      <c r="Q10" s="45">
        <f t="shared" si="1"/>
        <v>119</v>
      </c>
      <c r="R10" s="42">
        <v>180</v>
      </c>
      <c r="S10" s="40">
        <f t="shared" si="2"/>
        <v>1.7142857142857142</v>
      </c>
      <c r="T10" s="50">
        <v>1.4</v>
      </c>
      <c r="U10" s="51">
        <v>0.4</v>
      </c>
      <c r="V10" s="52">
        <v>3.1</v>
      </c>
      <c r="W10" s="63">
        <f t="shared" si="3"/>
        <v>14.6114</v>
      </c>
    </row>
    <row r="11" spans="1:23" s="49" customFormat="1" ht="33" customHeight="1" x14ac:dyDescent="0.35">
      <c r="A11" s="38">
        <v>115</v>
      </c>
      <c r="B11" s="39">
        <v>100</v>
      </c>
      <c r="C11" s="40">
        <v>14.7</v>
      </c>
      <c r="D11" s="41">
        <v>14.2</v>
      </c>
      <c r="E11" s="40">
        <v>22</v>
      </c>
      <c r="F11" s="42">
        <v>544</v>
      </c>
      <c r="G11" s="40">
        <v>20.7</v>
      </c>
      <c r="H11" s="43">
        <v>144</v>
      </c>
      <c r="I11" s="40">
        <v>12.8</v>
      </c>
      <c r="J11" s="41">
        <v>15.4</v>
      </c>
      <c r="K11" s="44">
        <v>21</v>
      </c>
      <c r="L11" s="42">
        <v>2</v>
      </c>
      <c r="M11" s="40">
        <v>14.2</v>
      </c>
      <c r="N11" s="41">
        <v>22.2</v>
      </c>
      <c r="O11" s="44">
        <f t="shared" si="0"/>
        <v>523</v>
      </c>
      <c r="P11" s="41">
        <v>20.3</v>
      </c>
      <c r="Q11" s="45">
        <f t="shared" si="1"/>
        <v>142</v>
      </c>
      <c r="R11" s="42">
        <v>205</v>
      </c>
      <c r="S11" s="40">
        <f t="shared" si="2"/>
        <v>1.7826086956521738</v>
      </c>
      <c r="T11" s="50">
        <v>1.6</v>
      </c>
      <c r="U11" s="51">
        <v>0.3</v>
      </c>
      <c r="V11" s="52">
        <v>2.6</v>
      </c>
      <c r="W11" s="63">
        <f t="shared" si="3"/>
        <v>12.93886</v>
      </c>
    </row>
    <row r="12" spans="1:23" s="49" customFormat="1" ht="33" customHeight="1" x14ac:dyDescent="0.35">
      <c r="A12" s="38">
        <v>125</v>
      </c>
      <c r="B12" s="39">
        <v>110</v>
      </c>
      <c r="C12" s="40">
        <v>15.3</v>
      </c>
      <c r="D12" s="41">
        <v>15</v>
      </c>
      <c r="E12" s="40">
        <v>23.8</v>
      </c>
      <c r="F12" s="42">
        <v>523</v>
      </c>
      <c r="G12" s="40">
        <v>23.3</v>
      </c>
      <c r="H12" s="43">
        <v>169</v>
      </c>
      <c r="I12" s="40">
        <v>13.4</v>
      </c>
      <c r="J12" s="41">
        <v>16.7</v>
      </c>
      <c r="K12" s="44">
        <v>20</v>
      </c>
      <c r="L12" s="42">
        <v>3</v>
      </c>
      <c r="M12" s="40">
        <v>15</v>
      </c>
      <c r="N12" s="41">
        <v>24</v>
      </c>
      <c r="O12" s="44">
        <f t="shared" si="0"/>
        <v>503</v>
      </c>
      <c r="P12" s="41">
        <v>22.8</v>
      </c>
      <c r="Q12" s="45">
        <f t="shared" si="1"/>
        <v>166</v>
      </c>
      <c r="R12" s="42">
        <v>232</v>
      </c>
      <c r="S12" s="40">
        <f t="shared" si="2"/>
        <v>1.8560000000000001</v>
      </c>
      <c r="T12" s="50">
        <v>1.6</v>
      </c>
      <c r="U12" s="51">
        <v>0.3</v>
      </c>
      <c r="V12" s="52">
        <v>2.7</v>
      </c>
      <c r="W12" s="63">
        <f t="shared" si="3"/>
        <v>15.606114</v>
      </c>
    </row>
    <row r="13" spans="1:23" s="49" customFormat="1" ht="33" customHeight="1" x14ac:dyDescent="0.35">
      <c r="A13" s="38">
        <v>135</v>
      </c>
      <c r="B13" s="39">
        <v>120</v>
      </c>
      <c r="C13" s="40">
        <v>15.9</v>
      </c>
      <c r="D13" s="41">
        <v>15.7</v>
      </c>
      <c r="E13" s="53">
        <v>25.4</v>
      </c>
      <c r="F13" s="42">
        <v>503</v>
      </c>
      <c r="G13" s="40">
        <v>25.5</v>
      </c>
      <c r="H13" s="43">
        <v>191</v>
      </c>
      <c r="I13" s="40">
        <v>14</v>
      </c>
      <c r="J13" s="41">
        <v>17.8</v>
      </c>
      <c r="K13" s="44">
        <v>20</v>
      </c>
      <c r="L13" s="42">
        <v>4</v>
      </c>
      <c r="M13" s="40">
        <v>15.7</v>
      </c>
      <c r="N13" s="41">
        <v>25.7</v>
      </c>
      <c r="O13" s="44">
        <f t="shared" si="0"/>
        <v>483</v>
      </c>
      <c r="P13" s="41">
        <v>25</v>
      </c>
      <c r="Q13" s="45">
        <f t="shared" si="1"/>
        <v>187</v>
      </c>
      <c r="R13" s="42">
        <v>257</v>
      </c>
      <c r="S13" s="40">
        <f t="shared" si="2"/>
        <v>1.9037037037037037</v>
      </c>
      <c r="T13" s="50">
        <v>1.4</v>
      </c>
      <c r="U13" s="51">
        <v>0.3</v>
      </c>
      <c r="V13" s="52">
        <v>2.5</v>
      </c>
      <c r="W13" s="63">
        <f t="shared" si="3"/>
        <v>17.539388600000002</v>
      </c>
    </row>
    <row r="14" spans="1:23" s="49" customFormat="1" ht="33" customHeight="1" x14ac:dyDescent="0.35">
      <c r="A14" s="38">
        <v>145</v>
      </c>
      <c r="B14" s="39">
        <v>130</v>
      </c>
      <c r="C14" s="40">
        <v>16.3</v>
      </c>
      <c r="D14" s="41">
        <v>16.2</v>
      </c>
      <c r="E14" s="53">
        <v>26.8</v>
      </c>
      <c r="F14" s="42">
        <v>483</v>
      </c>
      <c r="G14" s="40">
        <v>27.3</v>
      </c>
      <c r="H14" s="43">
        <v>209</v>
      </c>
      <c r="I14" s="40">
        <v>14.4</v>
      </c>
      <c r="J14" s="41">
        <v>18.8</v>
      </c>
      <c r="K14" s="44">
        <v>19</v>
      </c>
      <c r="L14" s="42">
        <v>4</v>
      </c>
      <c r="M14" s="40">
        <v>16.2</v>
      </c>
      <c r="N14" s="41">
        <v>27.1</v>
      </c>
      <c r="O14" s="44">
        <f t="shared" si="0"/>
        <v>464</v>
      </c>
      <c r="P14" s="41">
        <v>26.8</v>
      </c>
      <c r="Q14" s="45">
        <f t="shared" si="1"/>
        <v>205</v>
      </c>
      <c r="R14" s="42">
        <v>279</v>
      </c>
      <c r="S14" s="40">
        <f t="shared" si="2"/>
        <v>1.9241379310344828</v>
      </c>
      <c r="T14" s="50">
        <v>1.1000000000000001</v>
      </c>
      <c r="U14" s="51">
        <v>0.2</v>
      </c>
      <c r="V14" s="52">
        <v>2.2000000000000002</v>
      </c>
      <c r="W14" s="63">
        <f t="shared" si="3"/>
        <v>19.14606114</v>
      </c>
    </row>
    <row r="15" spans="1:23" s="49" customFormat="1" ht="33" customHeight="1" x14ac:dyDescent="0.35">
      <c r="A15" s="38">
        <v>160</v>
      </c>
      <c r="B15" s="39">
        <v>145</v>
      </c>
      <c r="C15" s="40">
        <v>16.8</v>
      </c>
      <c r="D15" s="41">
        <v>16.8</v>
      </c>
      <c r="E15" s="53">
        <v>28.7</v>
      </c>
      <c r="F15" s="42">
        <v>464</v>
      </c>
      <c r="G15" s="40">
        <v>30</v>
      </c>
      <c r="H15" s="43">
        <v>235</v>
      </c>
      <c r="I15" s="40">
        <v>16.8</v>
      </c>
      <c r="J15" s="41">
        <v>20.100000000000001</v>
      </c>
      <c r="K15" s="44">
        <v>27</v>
      </c>
      <c r="L15" s="42">
        <v>8</v>
      </c>
      <c r="M15" s="40">
        <v>16.8</v>
      </c>
      <c r="N15" s="41">
        <v>29.1</v>
      </c>
      <c r="O15" s="44">
        <f t="shared" si="0"/>
        <v>437</v>
      </c>
      <c r="P15" s="41">
        <v>29.1</v>
      </c>
      <c r="Q15" s="45">
        <f t="shared" si="1"/>
        <v>227</v>
      </c>
      <c r="R15" s="42">
        <v>309</v>
      </c>
      <c r="S15" s="40">
        <f t="shared" si="2"/>
        <v>1.9312499999999999</v>
      </c>
      <c r="T15" s="50">
        <v>1.1000000000000001</v>
      </c>
      <c r="U15" s="51">
        <v>0.2</v>
      </c>
      <c r="V15" s="52">
        <v>2</v>
      </c>
      <c r="W15" s="63">
        <f t="shared" si="3"/>
        <v>14.390262590666667</v>
      </c>
    </row>
    <row r="16" spans="1:23" x14ac:dyDescent="0.35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7"/>
    </row>
    <row r="17" spans="2:19" x14ac:dyDescent="0.35">
      <c r="B17" s="59"/>
    </row>
    <row r="18" spans="2:19" x14ac:dyDescent="0.35">
      <c r="O18" s="58" t="s">
        <v>112</v>
      </c>
      <c r="Q18" s="58" t="s">
        <v>112</v>
      </c>
      <c r="S18" s="58" t="s">
        <v>112</v>
      </c>
    </row>
  </sheetData>
  <mergeCells count="9">
    <mergeCell ref="A1:V1"/>
    <mergeCell ref="A2:H2"/>
    <mergeCell ref="I2:Q2"/>
    <mergeCell ref="R2:V2"/>
    <mergeCell ref="A3:B3"/>
    <mergeCell ref="C3:H3"/>
    <mergeCell ref="I3:L3"/>
    <mergeCell ref="M3:Q3"/>
    <mergeCell ref="T3:V3"/>
  </mergeCells>
  <pageMargins left="0.79000000000000015" right="0.79000000000000015" top="1" bottom="1" header="0.5" footer="0.5"/>
  <pageSetup paperSize="9" scale="54" orientation="landscape" horizontalDpi="4294967292" verticalDpi="4294967292"/>
  <rowBreaks count="1" manualBreakCount="1">
    <brk id="16" max="16383" man="1"/>
  </rowBreaks>
  <colBreaks count="1" manualBreakCount="1">
    <brk id="22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W19"/>
  <sheetViews>
    <sheetView topLeftCell="B4" zoomScale="75" zoomScaleNormal="75" zoomScalePageLayoutView="75" workbookViewId="0">
      <selection activeCell="X41" sqref="X41"/>
    </sheetView>
  </sheetViews>
  <sheetFormatPr baseColWidth="10" defaultColWidth="12.42578125" defaultRowHeight="23.25" x14ac:dyDescent="0.35"/>
  <cols>
    <col min="1" max="3" width="10.28515625" style="94" customWidth="1"/>
    <col min="4" max="4" width="10.28515625" style="96" customWidth="1"/>
    <col min="5" max="5" width="10.28515625" style="94" customWidth="1"/>
    <col min="6" max="6" width="10.28515625" style="96" customWidth="1"/>
    <col min="7" max="7" width="10.28515625" style="94" customWidth="1"/>
    <col min="8" max="8" width="10.28515625" style="96" customWidth="1"/>
    <col min="9" max="9" width="10.28515625" style="94" customWidth="1"/>
    <col min="10" max="10" width="10.28515625" style="96" customWidth="1"/>
    <col min="11" max="11" width="10.28515625" style="94" customWidth="1"/>
    <col min="12" max="12" width="10.28515625" style="96" customWidth="1"/>
    <col min="13" max="13" width="10.28515625" style="94" customWidth="1"/>
    <col min="14" max="14" width="10.28515625" style="96" customWidth="1"/>
    <col min="15" max="15" width="10.28515625" style="94" customWidth="1"/>
    <col min="16" max="16" width="10.28515625" style="96" customWidth="1"/>
    <col min="17" max="17" width="10.28515625" style="94" customWidth="1"/>
    <col min="18" max="18" width="13" style="96" customWidth="1"/>
    <col min="19" max="19" width="12.7109375" style="94" customWidth="1"/>
    <col min="20" max="20" width="13.5703125" style="96" customWidth="1"/>
    <col min="21" max="21" width="12.42578125" style="94" customWidth="1"/>
    <col min="22" max="22" width="12.7109375" style="96" customWidth="1"/>
    <col min="23" max="16384" width="12.42578125" style="94"/>
  </cols>
  <sheetData>
    <row r="1" spans="1:23" s="66" customFormat="1" ht="38.1" customHeight="1" x14ac:dyDescent="0.25">
      <c r="A1" s="269" t="s">
        <v>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</row>
    <row r="2" spans="1:23" s="66" customFormat="1" ht="33" customHeight="1" thickBot="1" x14ac:dyDescent="0.3">
      <c r="A2" s="272" t="s">
        <v>90</v>
      </c>
      <c r="B2" s="273"/>
      <c r="C2" s="273"/>
      <c r="D2" s="273"/>
      <c r="E2" s="273"/>
      <c r="F2" s="273"/>
      <c r="G2" s="273"/>
      <c r="H2" s="273"/>
      <c r="I2" s="273" t="s">
        <v>120</v>
      </c>
      <c r="J2" s="273"/>
      <c r="K2" s="273"/>
      <c r="L2" s="273"/>
      <c r="M2" s="273"/>
      <c r="N2" s="273"/>
      <c r="O2" s="273"/>
      <c r="P2" s="273"/>
      <c r="Q2" s="273"/>
      <c r="R2" s="273" t="s">
        <v>92</v>
      </c>
      <c r="S2" s="273"/>
      <c r="T2" s="273"/>
      <c r="U2" s="273"/>
      <c r="V2" s="274"/>
    </row>
    <row r="3" spans="1:23" s="66" customFormat="1" ht="54" customHeight="1" thickBot="1" x14ac:dyDescent="0.3">
      <c r="A3" s="275" t="s">
        <v>2</v>
      </c>
      <c r="B3" s="276"/>
      <c r="C3" s="277" t="s">
        <v>93</v>
      </c>
      <c r="D3" s="278"/>
      <c r="E3" s="278"/>
      <c r="F3" s="278"/>
      <c r="G3" s="278"/>
      <c r="H3" s="279"/>
      <c r="I3" s="277" t="s">
        <v>94</v>
      </c>
      <c r="J3" s="278"/>
      <c r="K3" s="278"/>
      <c r="L3" s="279"/>
      <c r="M3" s="277" t="s">
        <v>95</v>
      </c>
      <c r="N3" s="278"/>
      <c r="O3" s="278"/>
      <c r="P3" s="278"/>
      <c r="Q3" s="279"/>
      <c r="R3" s="67" t="s">
        <v>96</v>
      </c>
      <c r="S3" s="68" t="s">
        <v>97</v>
      </c>
      <c r="T3" s="277" t="s">
        <v>98</v>
      </c>
      <c r="U3" s="278"/>
      <c r="V3" s="280"/>
    </row>
    <row r="4" spans="1:23" s="72" customFormat="1" ht="51" customHeight="1" x14ac:dyDescent="0.25">
      <c r="A4" s="69" t="s">
        <v>99</v>
      </c>
      <c r="B4" s="70" t="s">
        <v>100</v>
      </c>
      <c r="C4" s="70" t="s">
        <v>101</v>
      </c>
      <c r="D4" s="70" t="s">
        <v>102</v>
      </c>
      <c r="E4" s="70" t="s">
        <v>103</v>
      </c>
      <c r="F4" s="70" t="s">
        <v>104</v>
      </c>
      <c r="G4" s="70" t="s">
        <v>105</v>
      </c>
      <c r="H4" s="70" t="s">
        <v>106</v>
      </c>
      <c r="I4" s="70" t="s">
        <v>107</v>
      </c>
      <c r="J4" s="70" t="s">
        <v>103</v>
      </c>
      <c r="K4" s="70" t="s">
        <v>104</v>
      </c>
      <c r="L4" s="70" t="s">
        <v>106</v>
      </c>
      <c r="M4" s="70" t="s">
        <v>107</v>
      </c>
      <c r="N4" s="70" t="s">
        <v>103</v>
      </c>
      <c r="O4" s="70" t="s">
        <v>104</v>
      </c>
      <c r="P4" s="70" t="s">
        <v>105</v>
      </c>
      <c r="Q4" s="70" t="s">
        <v>106</v>
      </c>
      <c r="R4" s="70" t="s">
        <v>108</v>
      </c>
      <c r="S4" s="70" t="s">
        <v>109</v>
      </c>
      <c r="T4" s="70" t="s">
        <v>110</v>
      </c>
      <c r="U4" s="70" t="s">
        <v>111</v>
      </c>
      <c r="V4" s="71" t="s">
        <v>109</v>
      </c>
    </row>
    <row r="5" spans="1:23" s="84" customFormat="1" ht="33" customHeight="1" x14ac:dyDescent="0.35">
      <c r="A5" s="73">
        <v>42</v>
      </c>
      <c r="B5" s="74">
        <v>30</v>
      </c>
      <c r="C5" s="75">
        <v>8.9</v>
      </c>
      <c r="D5" s="76">
        <v>7.5</v>
      </c>
      <c r="E5" s="75">
        <v>10.1</v>
      </c>
      <c r="F5" s="77">
        <v>1600</v>
      </c>
      <c r="G5" s="75">
        <v>12.8</v>
      </c>
      <c r="H5" s="78">
        <v>51</v>
      </c>
      <c r="I5" s="75"/>
      <c r="J5" s="76"/>
      <c r="K5" s="79"/>
      <c r="L5" s="77"/>
      <c r="M5" s="75">
        <v>7.5</v>
      </c>
      <c r="N5" s="76">
        <v>10.1</v>
      </c>
      <c r="O5" s="79">
        <f>F5-K5</f>
        <v>1600</v>
      </c>
      <c r="P5" s="76">
        <v>12.8</v>
      </c>
      <c r="Q5" s="80">
        <f>H5-L5</f>
        <v>51</v>
      </c>
      <c r="R5" s="77">
        <v>51</v>
      </c>
      <c r="S5" s="75">
        <f>R5/A5</f>
        <v>1.2142857142857142</v>
      </c>
      <c r="T5" s="81"/>
      <c r="U5" s="82"/>
      <c r="V5" s="83"/>
    </row>
    <row r="6" spans="1:23" s="84" customFormat="1" ht="33" customHeight="1" x14ac:dyDescent="0.35">
      <c r="A6" s="73">
        <v>47</v>
      </c>
      <c r="B6" s="74">
        <v>35</v>
      </c>
      <c r="C6" s="75">
        <v>10</v>
      </c>
      <c r="D6" s="76">
        <v>8.6</v>
      </c>
      <c r="E6" s="75">
        <v>11</v>
      </c>
      <c r="F6" s="77">
        <v>1600</v>
      </c>
      <c r="G6" s="75">
        <v>15.2</v>
      </c>
      <c r="H6" s="78">
        <v>69</v>
      </c>
      <c r="I6" s="75">
        <v>8.1999999999999993</v>
      </c>
      <c r="J6" s="76">
        <v>7.7</v>
      </c>
      <c r="K6" s="79">
        <v>31</v>
      </c>
      <c r="L6" s="77">
        <v>1</v>
      </c>
      <c r="M6" s="75">
        <v>8.6</v>
      </c>
      <c r="N6" s="76">
        <v>11</v>
      </c>
      <c r="O6" s="79">
        <f t="shared" ref="O6:O16" si="0">F6-K6</f>
        <v>1569</v>
      </c>
      <c r="P6" s="76">
        <v>15</v>
      </c>
      <c r="Q6" s="80">
        <f t="shared" ref="Q6:Q16" si="1">H6-L6</f>
        <v>68</v>
      </c>
      <c r="R6" s="77">
        <v>69</v>
      </c>
      <c r="S6" s="75">
        <f t="shared" ref="S6:S16" si="2">R6/A6</f>
        <v>1.4680851063829787</v>
      </c>
      <c r="T6" s="85">
        <v>1.8</v>
      </c>
      <c r="U6" s="86">
        <v>0.5</v>
      </c>
      <c r="V6" s="87">
        <v>3.6</v>
      </c>
    </row>
    <row r="7" spans="1:23" s="84" customFormat="1" ht="33" customHeight="1" x14ac:dyDescent="0.35">
      <c r="A7" s="73">
        <v>52</v>
      </c>
      <c r="B7" s="74">
        <v>40</v>
      </c>
      <c r="C7" s="75">
        <v>11</v>
      </c>
      <c r="D7" s="76">
        <v>9.6999999999999993</v>
      </c>
      <c r="E7" s="75">
        <v>11.9</v>
      </c>
      <c r="F7" s="77">
        <v>1569</v>
      </c>
      <c r="G7" s="75">
        <v>17.5</v>
      </c>
      <c r="H7" s="78">
        <v>88</v>
      </c>
      <c r="I7" s="75">
        <v>9</v>
      </c>
      <c r="J7" s="76">
        <v>8.3000000000000007</v>
      </c>
      <c r="K7" s="79">
        <v>31</v>
      </c>
      <c r="L7" s="77">
        <v>1</v>
      </c>
      <c r="M7" s="75">
        <v>9.6999999999999993</v>
      </c>
      <c r="N7" s="76">
        <v>12</v>
      </c>
      <c r="O7" s="79">
        <f t="shared" si="0"/>
        <v>1538</v>
      </c>
      <c r="P7" s="76">
        <v>17.3</v>
      </c>
      <c r="Q7" s="80">
        <f t="shared" si="1"/>
        <v>87</v>
      </c>
      <c r="R7" s="77">
        <v>89</v>
      </c>
      <c r="S7" s="75">
        <f t="shared" si="2"/>
        <v>1.7115384615384615</v>
      </c>
      <c r="T7" s="85">
        <v>1.7</v>
      </c>
      <c r="U7" s="86">
        <v>0.5</v>
      </c>
      <c r="V7" s="87">
        <v>3.9</v>
      </c>
    </row>
    <row r="8" spans="1:23" s="84" customFormat="1" ht="33" customHeight="1" x14ac:dyDescent="0.35">
      <c r="A8" s="73">
        <v>57</v>
      </c>
      <c r="B8" s="74">
        <v>45</v>
      </c>
      <c r="C8" s="75">
        <v>12</v>
      </c>
      <c r="D8" s="76">
        <v>10.6</v>
      </c>
      <c r="E8" s="75">
        <v>12.8</v>
      </c>
      <c r="F8" s="77">
        <v>1538</v>
      </c>
      <c r="G8" s="75">
        <v>19.899999999999999</v>
      </c>
      <c r="H8" s="78">
        <v>108</v>
      </c>
      <c r="I8" s="75">
        <v>10.1</v>
      </c>
      <c r="J8" s="76">
        <v>9.9</v>
      </c>
      <c r="K8" s="79">
        <v>600</v>
      </c>
      <c r="L8" s="77">
        <v>23</v>
      </c>
      <c r="M8" s="75">
        <v>10.8</v>
      </c>
      <c r="N8" s="76">
        <v>14.4</v>
      </c>
      <c r="O8" s="79">
        <f t="shared" si="0"/>
        <v>938</v>
      </c>
      <c r="P8" s="76">
        <v>15.2</v>
      </c>
      <c r="Q8" s="80">
        <f t="shared" si="1"/>
        <v>85</v>
      </c>
      <c r="R8" s="77">
        <v>110</v>
      </c>
      <c r="S8" s="75">
        <f t="shared" si="2"/>
        <v>1.9298245614035088</v>
      </c>
      <c r="T8" s="85">
        <v>1.7</v>
      </c>
      <c r="U8" s="86">
        <v>0.5</v>
      </c>
      <c r="V8" s="87">
        <v>4.2</v>
      </c>
    </row>
    <row r="9" spans="1:23" s="84" customFormat="1" ht="33" customHeight="1" x14ac:dyDescent="0.35">
      <c r="A9" s="73">
        <v>65</v>
      </c>
      <c r="B9" s="74">
        <v>53</v>
      </c>
      <c r="C9" s="75">
        <v>13.3</v>
      </c>
      <c r="D9" s="76">
        <v>12.2</v>
      </c>
      <c r="E9" s="75">
        <v>16</v>
      </c>
      <c r="F9" s="77">
        <v>938</v>
      </c>
      <c r="G9" s="75">
        <v>18.8</v>
      </c>
      <c r="H9" s="78">
        <v>117</v>
      </c>
      <c r="I9" s="75">
        <v>11.2</v>
      </c>
      <c r="J9" s="76">
        <v>11.2</v>
      </c>
      <c r="K9" s="79">
        <v>30</v>
      </c>
      <c r="L9" s="77">
        <v>2</v>
      </c>
      <c r="M9" s="75">
        <v>12.2</v>
      </c>
      <c r="N9" s="76">
        <v>16.100000000000001</v>
      </c>
      <c r="O9" s="79">
        <f t="shared" si="0"/>
        <v>908</v>
      </c>
      <c r="P9" s="76">
        <v>18.5</v>
      </c>
      <c r="Q9" s="80">
        <f t="shared" si="1"/>
        <v>115</v>
      </c>
      <c r="R9" s="77">
        <v>142</v>
      </c>
      <c r="S9" s="75">
        <f t="shared" si="2"/>
        <v>2.1846153846153844</v>
      </c>
      <c r="T9" s="85">
        <v>2</v>
      </c>
      <c r="U9" s="86">
        <v>0.4</v>
      </c>
      <c r="V9" s="87">
        <v>4</v>
      </c>
    </row>
    <row r="10" spans="1:23" s="84" customFormat="1" ht="33" customHeight="1" x14ac:dyDescent="0.35">
      <c r="A10" s="73">
        <v>75</v>
      </c>
      <c r="B10" s="74">
        <v>63</v>
      </c>
      <c r="C10" s="75">
        <v>14.8</v>
      </c>
      <c r="D10" s="76">
        <v>13.8</v>
      </c>
      <c r="E10" s="75">
        <v>18.100000000000001</v>
      </c>
      <c r="F10" s="77">
        <v>908</v>
      </c>
      <c r="G10" s="75">
        <v>23.2</v>
      </c>
      <c r="H10" s="78">
        <v>160</v>
      </c>
      <c r="I10" s="75">
        <v>12.5</v>
      </c>
      <c r="J10" s="76">
        <v>12.6</v>
      </c>
      <c r="K10" s="79">
        <v>36</v>
      </c>
      <c r="L10" s="77">
        <v>3</v>
      </c>
      <c r="M10" s="75">
        <v>13.8</v>
      </c>
      <c r="N10" s="76">
        <v>18.2</v>
      </c>
      <c r="O10" s="79">
        <f t="shared" si="0"/>
        <v>872</v>
      </c>
      <c r="P10" s="76">
        <v>22.8</v>
      </c>
      <c r="Q10" s="80">
        <f t="shared" si="1"/>
        <v>157</v>
      </c>
      <c r="R10" s="77">
        <v>187</v>
      </c>
      <c r="S10" s="75">
        <f t="shared" si="2"/>
        <v>2.4933333333333332</v>
      </c>
      <c r="T10" s="85">
        <v>2</v>
      </c>
      <c r="U10" s="86">
        <v>0.5</v>
      </c>
      <c r="V10" s="87">
        <v>4.4000000000000004</v>
      </c>
    </row>
    <row r="11" spans="1:23" s="84" customFormat="1" ht="33" customHeight="1" x14ac:dyDescent="0.35">
      <c r="A11" s="73">
        <v>85</v>
      </c>
      <c r="B11" s="74">
        <v>73</v>
      </c>
      <c r="C11" s="75">
        <v>16.100000000000001</v>
      </c>
      <c r="D11" s="76">
        <v>15.1</v>
      </c>
      <c r="E11" s="75">
        <v>20</v>
      </c>
      <c r="F11" s="77">
        <v>872</v>
      </c>
      <c r="G11" s="75">
        <v>27.3</v>
      </c>
      <c r="H11" s="78">
        <v>202</v>
      </c>
      <c r="I11" s="75">
        <v>14.4</v>
      </c>
      <c r="J11" s="76">
        <v>16.5</v>
      </c>
      <c r="K11" s="79">
        <v>350</v>
      </c>
      <c r="L11" s="77">
        <v>54</v>
      </c>
      <c r="M11" s="75">
        <v>15.4</v>
      </c>
      <c r="N11" s="76">
        <v>22</v>
      </c>
      <c r="O11" s="79">
        <f t="shared" si="0"/>
        <v>522</v>
      </c>
      <c r="P11" s="76">
        <v>19.8</v>
      </c>
      <c r="Q11" s="80">
        <f t="shared" si="1"/>
        <v>148</v>
      </c>
      <c r="R11" s="77">
        <v>232</v>
      </c>
      <c r="S11" s="75">
        <f t="shared" si="2"/>
        <v>2.7294117647058824</v>
      </c>
      <c r="T11" s="85">
        <v>1.7</v>
      </c>
      <c r="U11" s="86">
        <v>0.5</v>
      </c>
      <c r="V11" s="87">
        <v>4.5</v>
      </c>
    </row>
    <row r="12" spans="1:23" s="84" customFormat="1" ht="33" customHeight="1" x14ac:dyDescent="0.35">
      <c r="A12" s="73">
        <v>95</v>
      </c>
      <c r="B12" s="74">
        <v>83</v>
      </c>
      <c r="C12" s="75">
        <v>17.2</v>
      </c>
      <c r="D12" s="76">
        <v>16.600000000000001</v>
      </c>
      <c r="E12" s="75">
        <v>23.9</v>
      </c>
      <c r="F12" s="77">
        <v>522</v>
      </c>
      <c r="G12" s="75">
        <v>23.5</v>
      </c>
      <c r="H12" s="78">
        <v>185</v>
      </c>
      <c r="I12" s="75">
        <v>14.8</v>
      </c>
      <c r="J12" s="76">
        <v>16.7</v>
      </c>
      <c r="K12" s="79">
        <v>20</v>
      </c>
      <c r="L12" s="77">
        <v>3</v>
      </c>
      <c r="M12" s="75">
        <v>16.600000000000001</v>
      </c>
      <c r="N12" s="76">
        <v>24.2</v>
      </c>
      <c r="O12" s="79">
        <f t="shared" si="0"/>
        <v>502</v>
      </c>
      <c r="P12" s="76">
        <v>23</v>
      </c>
      <c r="Q12" s="80">
        <f t="shared" si="1"/>
        <v>182</v>
      </c>
      <c r="R12" s="77">
        <v>269</v>
      </c>
      <c r="S12" s="75">
        <f t="shared" si="2"/>
        <v>2.831578947368421</v>
      </c>
      <c r="T12" s="85">
        <v>1.9</v>
      </c>
      <c r="U12" s="86">
        <v>0.4</v>
      </c>
      <c r="V12" s="87">
        <v>3.7</v>
      </c>
    </row>
    <row r="13" spans="1:23" s="84" customFormat="1" ht="33" customHeight="1" x14ac:dyDescent="0.35">
      <c r="A13" s="73">
        <v>105</v>
      </c>
      <c r="B13" s="74">
        <v>93</v>
      </c>
      <c r="C13" s="75">
        <v>18.100000000000001</v>
      </c>
      <c r="D13" s="76">
        <v>17.600000000000001</v>
      </c>
      <c r="E13" s="88">
        <v>26.1</v>
      </c>
      <c r="F13" s="77">
        <v>502</v>
      </c>
      <c r="G13" s="75">
        <v>26.9</v>
      </c>
      <c r="H13" s="78">
        <v>222</v>
      </c>
      <c r="I13" s="75">
        <v>15.7</v>
      </c>
      <c r="J13" s="76">
        <v>18.3</v>
      </c>
      <c r="K13" s="79">
        <v>20</v>
      </c>
      <c r="L13" s="77">
        <v>4</v>
      </c>
      <c r="M13" s="75">
        <v>17.600000000000001</v>
      </c>
      <c r="N13" s="76">
        <v>26.4</v>
      </c>
      <c r="O13" s="79">
        <f t="shared" si="0"/>
        <v>482</v>
      </c>
      <c r="P13" s="76">
        <v>26.4</v>
      </c>
      <c r="Q13" s="80">
        <f t="shared" si="1"/>
        <v>218</v>
      </c>
      <c r="R13" s="77">
        <v>309</v>
      </c>
      <c r="S13" s="75">
        <f t="shared" si="2"/>
        <v>2.9428571428571431</v>
      </c>
      <c r="T13" s="85">
        <v>2</v>
      </c>
      <c r="U13" s="86">
        <v>0.4</v>
      </c>
      <c r="V13" s="87">
        <v>4</v>
      </c>
    </row>
    <row r="14" spans="1:23" s="84" customFormat="1" ht="33" customHeight="1" x14ac:dyDescent="0.35">
      <c r="A14" s="73">
        <v>115</v>
      </c>
      <c r="B14" s="74">
        <v>103</v>
      </c>
      <c r="C14" s="75">
        <v>18.8</v>
      </c>
      <c r="D14" s="76">
        <v>18.5</v>
      </c>
      <c r="E14" s="88">
        <v>28.1</v>
      </c>
      <c r="F14" s="77">
        <v>482</v>
      </c>
      <c r="G14" s="75">
        <v>29.9</v>
      </c>
      <c r="H14" s="78">
        <v>255</v>
      </c>
      <c r="I14" s="75">
        <v>16.3</v>
      </c>
      <c r="J14" s="76">
        <v>19.7</v>
      </c>
      <c r="K14" s="79">
        <v>19</v>
      </c>
      <c r="L14" s="77">
        <v>5</v>
      </c>
      <c r="M14" s="75">
        <v>18.5</v>
      </c>
      <c r="N14" s="76">
        <v>28.4</v>
      </c>
      <c r="O14" s="79">
        <f t="shared" si="0"/>
        <v>463</v>
      </c>
      <c r="P14" s="76">
        <v>29.3</v>
      </c>
      <c r="Q14" s="80">
        <f t="shared" si="1"/>
        <v>250</v>
      </c>
      <c r="R14" s="77">
        <v>346</v>
      </c>
      <c r="S14" s="75">
        <f t="shared" si="2"/>
        <v>3.008695652173913</v>
      </c>
      <c r="T14" s="85">
        <v>1.7</v>
      </c>
      <c r="U14" s="86">
        <v>0.3</v>
      </c>
      <c r="V14" s="87">
        <v>3.7</v>
      </c>
    </row>
    <row r="15" spans="1:23" s="84" customFormat="1" ht="33" customHeight="1" x14ac:dyDescent="0.35">
      <c r="A15" s="73">
        <v>125</v>
      </c>
      <c r="B15" s="74">
        <v>113</v>
      </c>
      <c r="C15" s="75">
        <v>19.399999999999999</v>
      </c>
      <c r="D15" s="76">
        <v>19.2</v>
      </c>
      <c r="E15" s="88">
        <v>29.7</v>
      </c>
      <c r="F15" s="77">
        <v>463</v>
      </c>
      <c r="G15" s="75">
        <v>32.1</v>
      </c>
      <c r="H15" s="78">
        <v>282</v>
      </c>
      <c r="I15" s="75">
        <v>16.899999999999999</v>
      </c>
      <c r="J15" s="76">
        <v>20.8</v>
      </c>
      <c r="K15" s="79">
        <v>18</v>
      </c>
      <c r="L15" s="77">
        <v>5</v>
      </c>
      <c r="M15" s="75">
        <v>19.2</v>
      </c>
      <c r="N15" s="76">
        <v>30</v>
      </c>
      <c r="O15" s="79">
        <f t="shared" si="0"/>
        <v>445</v>
      </c>
      <c r="P15" s="76">
        <v>31.5</v>
      </c>
      <c r="Q15" s="80">
        <f t="shared" si="1"/>
        <v>277</v>
      </c>
      <c r="R15" s="77">
        <v>378</v>
      </c>
      <c r="S15" s="75">
        <f t="shared" si="2"/>
        <v>3.024</v>
      </c>
      <c r="T15" s="85">
        <v>1.4</v>
      </c>
      <c r="U15" s="86">
        <v>0.3</v>
      </c>
      <c r="V15" s="87">
        <v>3.2</v>
      </c>
      <c r="W15" s="89"/>
    </row>
    <row r="16" spans="1:23" s="84" customFormat="1" ht="33" customHeight="1" x14ac:dyDescent="0.35">
      <c r="A16" s="73">
        <v>140</v>
      </c>
      <c r="B16" s="74">
        <v>128</v>
      </c>
      <c r="C16" s="75">
        <v>20.100000000000001</v>
      </c>
      <c r="D16" s="76">
        <v>20</v>
      </c>
      <c r="E16" s="88">
        <v>31.9</v>
      </c>
      <c r="F16" s="77">
        <v>445</v>
      </c>
      <c r="G16" s="75">
        <v>35.6</v>
      </c>
      <c r="H16" s="78">
        <v>322</v>
      </c>
      <c r="I16" s="75">
        <v>17.5</v>
      </c>
      <c r="J16" s="76">
        <v>22.3</v>
      </c>
      <c r="K16" s="79">
        <v>26</v>
      </c>
      <c r="L16" s="77">
        <v>9</v>
      </c>
      <c r="M16" s="75">
        <v>20.100000000000001</v>
      </c>
      <c r="N16" s="76">
        <v>32.4</v>
      </c>
      <c r="O16" s="79">
        <f t="shared" si="0"/>
        <v>419</v>
      </c>
      <c r="P16" s="76">
        <v>34.6</v>
      </c>
      <c r="Q16" s="80">
        <f t="shared" si="1"/>
        <v>313</v>
      </c>
      <c r="R16" s="77">
        <v>423</v>
      </c>
      <c r="S16" s="75">
        <f t="shared" si="2"/>
        <v>3.0214285714285714</v>
      </c>
      <c r="T16" s="85">
        <v>1.3</v>
      </c>
      <c r="U16" s="86">
        <v>0.3</v>
      </c>
      <c r="V16" s="87">
        <v>3</v>
      </c>
      <c r="W16" s="89"/>
    </row>
    <row r="17" spans="1:22" x14ac:dyDescent="0.35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</row>
    <row r="18" spans="1:22" x14ac:dyDescent="0.35">
      <c r="B18" s="95"/>
    </row>
    <row r="19" spans="1:22" x14ac:dyDescent="0.35">
      <c r="O19" s="94" t="s">
        <v>112</v>
      </c>
      <c r="Q19" s="94" t="s">
        <v>112</v>
      </c>
      <c r="S19" s="94" t="s">
        <v>112</v>
      </c>
    </row>
  </sheetData>
  <mergeCells count="9">
    <mergeCell ref="A1:V1"/>
    <mergeCell ref="A2:H2"/>
    <mergeCell ref="I2:Q2"/>
    <mergeCell ref="R2:V2"/>
    <mergeCell ref="A3:B3"/>
    <mergeCell ref="C3:H3"/>
    <mergeCell ref="I3:L3"/>
    <mergeCell ref="M3:Q3"/>
    <mergeCell ref="T3:V3"/>
  </mergeCells>
  <pageMargins left="0.79000000000000015" right="0.79000000000000015" top="1" bottom="1" header="0.5" footer="0.5"/>
  <pageSetup paperSize="9" scale="54" orientation="landscape" horizontalDpi="4294967292" verticalDpi="4294967292"/>
  <rowBreaks count="1" manualBreakCount="1">
    <brk id="17" max="16383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W23"/>
  <sheetViews>
    <sheetView topLeftCell="A3" zoomScale="75" zoomScaleNormal="75" zoomScalePageLayoutView="75" workbookViewId="0">
      <selection activeCell="X41" sqref="X41"/>
    </sheetView>
  </sheetViews>
  <sheetFormatPr baseColWidth="10" defaultColWidth="12.42578125" defaultRowHeight="23.25" x14ac:dyDescent="0.35"/>
  <cols>
    <col min="1" max="3" width="10.28515625" style="94" customWidth="1"/>
    <col min="4" max="4" width="10.28515625" style="96" customWidth="1"/>
    <col min="5" max="5" width="10.28515625" style="94" customWidth="1"/>
    <col min="6" max="6" width="10.28515625" style="96" customWidth="1"/>
    <col min="7" max="7" width="10.28515625" style="94" customWidth="1"/>
    <col min="8" max="8" width="10.28515625" style="96" customWidth="1"/>
    <col min="9" max="9" width="10.28515625" style="94" customWidth="1"/>
    <col min="10" max="10" width="10.28515625" style="96" customWidth="1"/>
    <col min="11" max="11" width="10.28515625" style="94" customWidth="1"/>
    <col min="12" max="12" width="10.28515625" style="96" customWidth="1"/>
    <col min="13" max="13" width="10.28515625" style="94" customWidth="1"/>
    <col min="14" max="14" width="10.28515625" style="96" customWidth="1"/>
    <col min="15" max="15" width="10.28515625" style="94" customWidth="1"/>
    <col min="16" max="16" width="10.28515625" style="96" customWidth="1"/>
    <col min="17" max="17" width="10.28515625" style="94" customWidth="1"/>
    <col min="18" max="18" width="13" style="96" customWidth="1"/>
    <col min="19" max="19" width="12.7109375" style="94" customWidth="1"/>
    <col min="20" max="20" width="13.5703125" style="96" customWidth="1"/>
    <col min="21" max="21" width="12.42578125" style="94" customWidth="1"/>
    <col min="22" max="22" width="12.7109375" style="96" customWidth="1"/>
    <col min="23" max="16384" width="12.42578125" style="94"/>
  </cols>
  <sheetData>
    <row r="1" spans="1:23" s="66" customFormat="1" ht="38.1" customHeight="1" x14ac:dyDescent="0.25">
      <c r="A1" s="269" t="s">
        <v>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</row>
    <row r="2" spans="1:23" s="66" customFormat="1" ht="33" customHeight="1" thickBot="1" x14ac:dyDescent="0.3">
      <c r="A2" s="272" t="s">
        <v>90</v>
      </c>
      <c r="B2" s="273"/>
      <c r="C2" s="273"/>
      <c r="D2" s="273"/>
      <c r="E2" s="273"/>
      <c r="F2" s="273"/>
      <c r="G2" s="273"/>
      <c r="H2" s="273"/>
      <c r="I2" s="273" t="s">
        <v>121</v>
      </c>
      <c r="J2" s="273"/>
      <c r="K2" s="273"/>
      <c r="L2" s="273"/>
      <c r="M2" s="273"/>
      <c r="N2" s="273"/>
      <c r="O2" s="273"/>
      <c r="P2" s="273"/>
      <c r="Q2" s="273"/>
      <c r="R2" s="273" t="s">
        <v>92</v>
      </c>
      <c r="S2" s="273"/>
      <c r="T2" s="273"/>
      <c r="U2" s="273"/>
      <c r="V2" s="274"/>
    </row>
    <row r="3" spans="1:23" s="66" customFormat="1" ht="54" customHeight="1" thickBot="1" x14ac:dyDescent="0.3">
      <c r="A3" s="275" t="s">
        <v>2</v>
      </c>
      <c r="B3" s="276"/>
      <c r="C3" s="277" t="s">
        <v>93</v>
      </c>
      <c r="D3" s="278"/>
      <c r="E3" s="278"/>
      <c r="F3" s="278"/>
      <c r="G3" s="278"/>
      <c r="H3" s="279"/>
      <c r="I3" s="277" t="s">
        <v>94</v>
      </c>
      <c r="J3" s="278"/>
      <c r="K3" s="278"/>
      <c r="L3" s="279"/>
      <c r="M3" s="277" t="s">
        <v>95</v>
      </c>
      <c r="N3" s="278"/>
      <c r="O3" s="278"/>
      <c r="P3" s="278"/>
      <c r="Q3" s="279"/>
      <c r="R3" s="67" t="s">
        <v>96</v>
      </c>
      <c r="S3" s="68" t="s">
        <v>97</v>
      </c>
      <c r="T3" s="277" t="s">
        <v>98</v>
      </c>
      <c r="U3" s="278"/>
      <c r="V3" s="280"/>
    </row>
    <row r="4" spans="1:23" s="72" customFormat="1" ht="51" customHeight="1" x14ac:dyDescent="0.25">
      <c r="A4" s="69" t="s">
        <v>99</v>
      </c>
      <c r="B4" s="70" t="s">
        <v>100</v>
      </c>
      <c r="C4" s="70" t="s">
        <v>101</v>
      </c>
      <c r="D4" s="70" t="s">
        <v>102</v>
      </c>
      <c r="E4" s="70" t="s">
        <v>103</v>
      </c>
      <c r="F4" s="70" t="s">
        <v>104</v>
      </c>
      <c r="G4" s="70" t="s">
        <v>105</v>
      </c>
      <c r="H4" s="70" t="s">
        <v>106</v>
      </c>
      <c r="I4" s="70" t="s">
        <v>107</v>
      </c>
      <c r="J4" s="70" t="s">
        <v>103</v>
      </c>
      <c r="K4" s="70" t="s">
        <v>104</v>
      </c>
      <c r="L4" s="70" t="s">
        <v>106</v>
      </c>
      <c r="M4" s="70" t="s">
        <v>107</v>
      </c>
      <c r="N4" s="70" t="s">
        <v>103</v>
      </c>
      <c r="O4" s="70" t="s">
        <v>104</v>
      </c>
      <c r="P4" s="70" t="s">
        <v>105</v>
      </c>
      <c r="Q4" s="70" t="s">
        <v>106</v>
      </c>
      <c r="R4" s="70" t="s">
        <v>108</v>
      </c>
      <c r="S4" s="70" t="s">
        <v>109</v>
      </c>
      <c r="T4" s="70" t="s">
        <v>110</v>
      </c>
      <c r="U4" s="70" t="s">
        <v>111</v>
      </c>
      <c r="V4" s="71" t="s">
        <v>109</v>
      </c>
    </row>
    <row r="5" spans="1:23" s="84" customFormat="1" ht="33" customHeight="1" x14ac:dyDescent="0.35">
      <c r="A5" s="73">
        <v>32</v>
      </c>
      <c r="B5" s="74">
        <v>22</v>
      </c>
      <c r="C5" s="75">
        <v>9</v>
      </c>
      <c r="D5" s="76">
        <v>7.7</v>
      </c>
      <c r="E5" s="75">
        <v>10.3</v>
      </c>
      <c r="F5" s="77">
        <v>1600</v>
      </c>
      <c r="G5" s="75">
        <v>13.4</v>
      </c>
      <c r="H5" s="78">
        <v>54</v>
      </c>
      <c r="I5" s="75"/>
      <c r="J5" s="76"/>
      <c r="K5" s="79"/>
      <c r="L5" s="77"/>
      <c r="M5" s="75">
        <v>7.7</v>
      </c>
      <c r="N5" s="76">
        <v>10.3</v>
      </c>
      <c r="O5" s="79">
        <f>F5-K5</f>
        <v>1600</v>
      </c>
      <c r="P5" s="76">
        <v>13.4</v>
      </c>
      <c r="Q5" s="80">
        <f>H5-L5</f>
        <v>54</v>
      </c>
      <c r="R5" s="77">
        <v>54</v>
      </c>
      <c r="S5" s="75">
        <f>R5/A5</f>
        <v>1.6875</v>
      </c>
      <c r="T5" s="81"/>
      <c r="U5" s="82"/>
      <c r="V5" s="83"/>
    </row>
    <row r="6" spans="1:23" s="84" customFormat="1" ht="33" customHeight="1" x14ac:dyDescent="0.35">
      <c r="A6" s="73">
        <v>37</v>
      </c>
      <c r="B6" s="74">
        <v>27</v>
      </c>
      <c r="C6" s="75">
        <v>19.5</v>
      </c>
      <c r="D6" s="76">
        <v>9.1999999999999993</v>
      </c>
      <c r="E6" s="75">
        <v>11.4</v>
      </c>
      <c r="F6" s="77">
        <v>1600</v>
      </c>
      <c r="G6" s="75">
        <v>16.5</v>
      </c>
      <c r="H6" s="78">
        <v>79</v>
      </c>
      <c r="I6" s="75">
        <v>8.6</v>
      </c>
      <c r="J6" s="76">
        <v>8</v>
      </c>
      <c r="K6" s="79">
        <v>31</v>
      </c>
      <c r="L6" s="77">
        <v>1</v>
      </c>
      <c r="M6" s="75">
        <v>9.1999999999999993</v>
      </c>
      <c r="N6" s="76">
        <v>11.5</v>
      </c>
      <c r="O6" s="79">
        <f t="shared" ref="O6:O20" si="0">F6-K6</f>
        <v>1569</v>
      </c>
      <c r="P6" s="76">
        <v>16.3</v>
      </c>
      <c r="Q6" s="80">
        <f t="shared" ref="Q6:Q20" si="1">H6-L6</f>
        <v>78</v>
      </c>
      <c r="R6" s="77">
        <v>79</v>
      </c>
      <c r="S6" s="75">
        <f t="shared" ref="S6:S20" si="2">R6/A6</f>
        <v>2.1351351351351351</v>
      </c>
      <c r="T6" s="85">
        <v>2.2999999999999998</v>
      </c>
      <c r="U6" s="86">
        <v>0.6</v>
      </c>
      <c r="V6" s="87">
        <v>4.9000000000000004</v>
      </c>
    </row>
    <row r="7" spans="1:23" s="84" customFormat="1" ht="33" customHeight="1" x14ac:dyDescent="0.35">
      <c r="A7" s="73">
        <v>42</v>
      </c>
      <c r="B7" s="74">
        <v>32</v>
      </c>
      <c r="C7" s="75">
        <v>11.9</v>
      </c>
      <c r="D7" s="76">
        <v>10.6</v>
      </c>
      <c r="E7" s="75">
        <v>12.6</v>
      </c>
      <c r="F7" s="77">
        <v>1569</v>
      </c>
      <c r="G7" s="75">
        <v>19.399999999999999</v>
      </c>
      <c r="H7" s="78">
        <v>105</v>
      </c>
      <c r="I7" s="75">
        <v>9.8000000000000007</v>
      </c>
      <c r="J7" s="76">
        <v>8.8000000000000007</v>
      </c>
      <c r="K7" s="79">
        <v>31</v>
      </c>
      <c r="L7" s="77">
        <v>0</v>
      </c>
      <c r="M7" s="75">
        <v>10.6</v>
      </c>
      <c r="N7" s="76">
        <v>12.6</v>
      </c>
      <c r="O7" s="79">
        <f t="shared" si="0"/>
        <v>1538</v>
      </c>
      <c r="P7" s="76">
        <v>19.2</v>
      </c>
      <c r="Q7" s="80">
        <f t="shared" si="1"/>
        <v>105</v>
      </c>
      <c r="R7" s="77">
        <v>106</v>
      </c>
      <c r="S7" s="75">
        <f t="shared" si="2"/>
        <v>2.5238095238095237</v>
      </c>
      <c r="T7" s="85">
        <v>2.1</v>
      </c>
      <c r="U7" s="86">
        <v>0.6</v>
      </c>
      <c r="V7" s="87">
        <v>5.6</v>
      </c>
    </row>
    <row r="8" spans="1:23" s="84" customFormat="1" ht="33" customHeight="1" x14ac:dyDescent="0.35">
      <c r="A8" s="73">
        <v>48</v>
      </c>
      <c r="B8" s="74">
        <v>38</v>
      </c>
      <c r="C8" s="75">
        <v>13.5</v>
      </c>
      <c r="D8" s="76">
        <v>12.1</v>
      </c>
      <c r="E8" s="75">
        <v>13.8</v>
      </c>
      <c r="F8" s="77">
        <v>1538</v>
      </c>
      <c r="G8" s="75">
        <v>23.1</v>
      </c>
      <c r="H8" s="78">
        <v>141</v>
      </c>
      <c r="I8" s="75">
        <v>11</v>
      </c>
      <c r="J8" s="76">
        <v>9.6999999999999993</v>
      </c>
      <c r="K8" s="79">
        <v>36</v>
      </c>
      <c r="L8" s="77">
        <v>2</v>
      </c>
      <c r="M8" s="75">
        <v>12.1</v>
      </c>
      <c r="N8" s="76">
        <v>13.9</v>
      </c>
      <c r="O8" s="79">
        <f t="shared" si="0"/>
        <v>1502</v>
      </c>
      <c r="P8" s="76">
        <v>22.8</v>
      </c>
      <c r="Q8" s="80">
        <f t="shared" si="1"/>
        <v>139</v>
      </c>
      <c r="R8" s="77">
        <v>142</v>
      </c>
      <c r="S8" s="75">
        <f t="shared" si="2"/>
        <v>2.9583333333333335</v>
      </c>
      <c r="T8" s="85">
        <v>2</v>
      </c>
      <c r="U8" s="86">
        <v>0.6</v>
      </c>
      <c r="V8" s="87">
        <v>6</v>
      </c>
    </row>
    <row r="9" spans="1:23" s="84" customFormat="1" ht="33" customHeight="1" x14ac:dyDescent="0.35">
      <c r="A9" s="73">
        <v>54</v>
      </c>
      <c r="B9" s="74">
        <v>44</v>
      </c>
      <c r="C9" s="75">
        <v>14.9</v>
      </c>
      <c r="D9" s="76">
        <v>13.4</v>
      </c>
      <c r="E9" s="75">
        <v>15</v>
      </c>
      <c r="F9" s="77">
        <v>1502</v>
      </c>
      <c r="G9" s="75">
        <v>26.6</v>
      </c>
      <c r="H9" s="78">
        <v>178</v>
      </c>
      <c r="I9" s="75">
        <v>12.1</v>
      </c>
      <c r="J9" s="76">
        <v>10.5</v>
      </c>
      <c r="K9" s="79">
        <v>36</v>
      </c>
      <c r="L9" s="77">
        <v>2</v>
      </c>
      <c r="M9" s="75">
        <v>13.4</v>
      </c>
      <c r="N9" s="76">
        <v>15.1</v>
      </c>
      <c r="O9" s="79">
        <f t="shared" si="0"/>
        <v>1466</v>
      </c>
      <c r="P9" s="76">
        <v>26.2</v>
      </c>
      <c r="Q9" s="80">
        <f t="shared" si="1"/>
        <v>176</v>
      </c>
      <c r="R9" s="77">
        <v>181</v>
      </c>
      <c r="S9" s="75">
        <f t="shared" si="2"/>
        <v>3.3518518518518516</v>
      </c>
      <c r="T9" s="85">
        <v>1.8</v>
      </c>
      <c r="U9" s="86">
        <v>0.6</v>
      </c>
      <c r="V9" s="87">
        <v>6.4</v>
      </c>
    </row>
    <row r="10" spans="1:23" s="84" customFormat="1" ht="33" customHeight="1" x14ac:dyDescent="0.35">
      <c r="A10" s="73">
        <v>60</v>
      </c>
      <c r="B10" s="74">
        <v>50</v>
      </c>
      <c r="C10" s="75">
        <v>16.2</v>
      </c>
      <c r="D10" s="76">
        <v>14.6</v>
      </c>
      <c r="E10" s="75">
        <v>16.100000000000001</v>
      </c>
      <c r="F10" s="77">
        <v>1466</v>
      </c>
      <c r="G10" s="75">
        <v>30</v>
      </c>
      <c r="H10" s="78">
        <v>215</v>
      </c>
      <c r="I10" s="75">
        <v>13.8</v>
      </c>
      <c r="J10" s="76">
        <v>13.3</v>
      </c>
      <c r="K10" s="79">
        <v>550</v>
      </c>
      <c r="L10" s="77">
        <v>52</v>
      </c>
      <c r="M10" s="75">
        <v>14.8</v>
      </c>
      <c r="N10" s="76">
        <v>17.600000000000001</v>
      </c>
      <c r="O10" s="79">
        <f t="shared" si="0"/>
        <v>916</v>
      </c>
      <c r="P10" s="76">
        <v>22.3</v>
      </c>
      <c r="Q10" s="80">
        <f t="shared" si="1"/>
        <v>163</v>
      </c>
      <c r="R10" s="77">
        <v>220</v>
      </c>
      <c r="S10" s="75">
        <f t="shared" si="2"/>
        <v>3.6666666666666665</v>
      </c>
      <c r="T10" s="85">
        <v>1.7</v>
      </c>
      <c r="U10" s="86">
        <v>0.6</v>
      </c>
      <c r="V10" s="87">
        <v>6.6</v>
      </c>
    </row>
    <row r="11" spans="1:23" s="84" customFormat="1" ht="33" customHeight="1" x14ac:dyDescent="0.35">
      <c r="A11" s="73">
        <v>65</v>
      </c>
      <c r="B11" s="74">
        <v>55</v>
      </c>
      <c r="C11" s="75">
        <v>17.100000000000001</v>
      </c>
      <c r="D11" s="76">
        <v>15.8</v>
      </c>
      <c r="E11" s="75">
        <v>18.7</v>
      </c>
      <c r="F11" s="77">
        <v>916</v>
      </c>
      <c r="G11" s="75">
        <v>25.1</v>
      </c>
      <c r="H11" s="78">
        <v>193</v>
      </c>
      <c r="I11" s="75">
        <v>14.2</v>
      </c>
      <c r="J11" s="76">
        <v>13.1</v>
      </c>
      <c r="K11" s="79">
        <v>18</v>
      </c>
      <c r="L11" s="77">
        <v>2</v>
      </c>
      <c r="M11" s="75">
        <v>15.8</v>
      </c>
      <c r="N11" s="76">
        <v>18.8</v>
      </c>
      <c r="O11" s="79">
        <f t="shared" si="0"/>
        <v>898</v>
      </c>
      <c r="P11" s="76">
        <v>24.8</v>
      </c>
      <c r="Q11" s="80">
        <f t="shared" si="1"/>
        <v>191</v>
      </c>
      <c r="R11" s="77">
        <v>250</v>
      </c>
      <c r="S11" s="75">
        <f t="shared" si="2"/>
        <v>3.8461538461538463</v>
      </c>
      <c r="T11" s="85">
        <v>2.2000000000000002</v>
      </c>
      <c r="U11" s="86">
        <v>0.6</v>
      </c>
      <c r="V11" s="87">
        <v>6</v>
      </c>
    </row>
    <row r="12" spans="1:23" s="84" customFormat="1" ht="33" customHeight="1" x14ac:dyDescent="0.35">
      <c r="A12" s="73">
        <v>70</v>
      </c>
      <c r="B12" s="74">
        <v>60</v>
      </c>
      <c r="C12" s="75">
        <v>18</v>
      </c>
      <c r="D12" s="76">
        <v>16.600000000000001</v>
      </c>
      <c r="E12" s="75">
        <v>19.899999999999999</v>
      </c>
      <c r="F12" s="77">
        <v>898</v>
      </c>
      <c r="G12" s="75">
        <v>27.8</v>
      </c>
      <c r="H12" s="78">
        <v>224</v>
      </c>
      <c r="I12" s="75">
        <v>14.9</v>
      </c>
      <c r="J12" s="76">
        <v>13.9</v>
      </c>
      <c r="K12" s="79">
        <v>17</v>
      </c>
      <c r="L12" s="77">
        <v>2</v>
      </c>
      <c r="M12" s="75">
        <v>16.7</v>
      </c>
      <c r="N12" s="76">
        <v>20</v>
      </c>
      <c r="O12" s="79">
        <f t="shared" si="0"/>
        <v>881</v>
      </c>
      <c r="P12" s="76">
        <v>27.6</v>
      </c>
      <c r="Q12" s="80">
        <f t="shared" si="1"/>
        <v>222</v>
      </c>
      <c r="R12" s="77">
        <v>283</v>
      </c>
      <c r="S12" s="75">
        <f t="shared" si="2"/>
        <v>4.0428571428571427</v>
      </c>
      <c r="T12" s="85">
        <v>2.2000000000000002</v>
      </c>
      <c r="U12" s="86">
        <v>0.6</v>
      </c>
      <c r="V12" s="87">
        <v>6.5</v>
      </c>
    </row>
    <row r="13" spans="1:23" s="84" customFormat="1" ht="33" customHeight="1" x14ac:dyDescent="0.35">
      <c r="A13" s="73">
        <v>75</v>
      </c>
      <c r="B13" s="74">
        <v>65</v>
      </c>
      <c r="C13" s="75">
        <v>18.8</v>
      </c>
      <c r="D13" s="76">
        <v>17.399999999999999</v>
      </c>
      <c r="E13" s="88">
        <v>21</v>
      </c>
      <c r="F13" s="77">
        <v>881</v>
      </c>
      <c r="G13" s="75">
        <v>30.4</v>
      </c>
      <c r="H13" s="78">
        <v>253</v>
      </c>
      <c r="I13" s="75">
        <v>15.5</v>
      </c>
      <c r="J13" s="76">
        <v>14.7</v>
      </c>
      <c r="K13" s="79">
        <v>17</v>
      </c>
      <c r="L13" s="77">
        <v>2</v>
      </c>
      <c r="M13" s="75">
        <v>17.399999999999999</v>
      </c>
      <c r="N13" s="76">
        <v>21.1</v>
      </c>
      <c r="O13" s="79">
        <f t="shared" si="0"/>
        <v>864</v>
      </c>
      <c r="P13" s="76">
        <v>30.1</v>
      </c>
      <c r="Q13" s="80">
        <f t="shared" si="1"/>
        <v>251</v>
      </c>
      <c r="R13" s="77">
        <v>314</v>
      </c>
      <c r="S13" s="75">
        <f t="shared" si="2"/>
        <v>4.1866666666666665</v>
      </c>
      <c r="T13" s="85">
        <v>2</v>
      </c>
      <c r="U13" s="86">
        <v>0.6</v>
      </c>
      <c r="V13" s="87">
        <v>6.3</v>
      </c>
    </row>
    <row r="14" spans="1:23" s="84" customFormat="1" ht="33" customHeight="1" x14ac:dyDescent="0.35">
      <c r="A14" s="73">
        <v>80</v>
      </c>
      <c r="B14" s="74">
        <v>70</v>
      </c>
      <c r="C14" s="75">
        <v>19.5</v>
      </c>
      <c r="D14" s="76">
        <v>18.100000000000001</v>
      </c>
      <c r="E14" s="88">
        <v>21.9</v>
      </c>
      <c r="F14" s="77">
        <v>864</v>
      </c>
      <c r="G14" s="75">
        <v>32.5</v>
      </c>
      <c r="H14" s="78">
        <v>280</v>
      </c>
      <c r="I14" s="75">
        <v>16</v>
      </c>
      <c r="J14" s="76">
        <v>15.3</v>
      </c>
      <c r="K14" s="79">
        <v>17</v>
      </c>
      <c r="L14" s="77">
        <v>3</v>
      </c>
      <c r="M14" s="75">
        <v>18.100000000000001</v>
      </c>
      <c r="N14" s="76">
        <v>22</v>
      </c>
      <c r="O14" s="79">
        <f t="shared" si="0"/>
        <v>847</v>
      </c>
      <c r="P14" s="76">
        <v>32.200000000000003</v>
      </c>
      <c r="Q14" s="80">
        <f t="shared" si="1"/>
        <v>277</v>
      </c>
      <c r="R14" s="77">
        <v>343</v>
      </c>
      <c r="S14" s="75">
        <f t="shared" si="2"/>
        <v>4.2874999999999996</v>
      </c>
      <c r="T14" s="85">
        <v>1.7</v>
      </c>
      <c r="U14" s="86">
        <v>0.5</v>
      </c>
      <c r="V14" s="87">
        <v>5.7</v>
      </c>
    </row>
    <row r="15" spans="1:23" s="84" customFormat="1" ht="33" customHeight="1" x14ac:dyDescent="0.35">
      <c r="A15" s="73">
        <v>85</v>
      </c>
      <c r="B15" s="74">
        <v>75</v>
      </c>
      <c r="C15" s="75">
        <v>20.100000000000001</v>
      </c>
      <c r="D15" s="76">
        <v>18.7</v>
      </c>
      <c r="E15" s="88">
        <v>22.8</v>
      </c>
      <c r="F15" s="77">
        <v>847</v>
      </c>
      <c r="G15" s="75">
        <v>34.6</v>
      </c>
      <c r="H15" s="78">
        <v>306</v>
      </c>
      <c r="I15" s="75">
        <v>17.8</v>
      </c>
      <c r="J15" s="76">
        <v>19.5</v>
      </c>
      <c r="K15" s="79">
        <v>250</v>
      </c>
      <c r="L15" s="77">
        <v>65</v>
      </c>
      <c r="M15" s="75">
        <v>19</v>
      </c>
      <c r="N15" s="76">
        <v>24</v>
      </c>
      <c r="O15" s="79">
        <f t="shared" si="0"/>
        <v>597</v>
      </c>
      <c r="P15" s="76">
        <v>27.1</v>
      </c>
      <c r="Q15" s="80">
        <f t="shared" si="1"/>
        <v>241</v>
      </c>
      <c r="R15" s="77">
        <v>372</v>
      </c>
      <c r="S15" s="75">
        <f t="shared" si="2"/>
        <v>4.3764705882352946</v>
      </c>
      <c r="T15" s="85">
        <v>1.6</v>
      </c>
      <c r="U15" s="86">
        <v>0.5</v>
      </c>
      <c r="V15" s="87">
        <v>5.7</v>
      </c>
      <c r="W15" s="89"/>
    </row>
    <row r="16" spans="1:23" s="84" customFormat="1" ht="33" customHeight="1" x14ac:dyDescent="0.35">
      <c r="A16" s="73">
        <v>90</v>
      </c>
      <c r="B16" s="74">
        <v>80</v>
      </c>
      <c r="C16" s="75">
        <v>20.7</v>
      </c>
      <c r="D16" s="76">
        <v>19.600000000000001</v>
      </c>
      <c r="E16" s="88">
        <v>25</v>
      </c>
      <c r="F16" s="77">
        <v>597</v>
      </c>
      <c r="G16" s="75">
        <v>29.4</v>
      </c>
      <c r="H16" s="78">
        <v>268</v>
      </c>
      <c r="I16" s="75">
        <v>17.399999999999999</v>
      </c>
      <c r="J16" s="76">
        <v>17.5</v>
      </c>
      <c r="K16" s="79">
        <v>11</v>
      </c>
      <c r="L16" s="77">
        <v>2</v>
      </c>
      <c r="M16" s="75">
        <v>19.600000000000001</v>
      </c>
      <c r="N16" s="76">
        <v>25.1</v>
      </c>
      <c r="O16" s="79">
        <f t="shared" si="0"/>
        <v>586</v>
      </c>
      <c r="P16" s="76">
        <v>29.1</v>
      </c>
      <c r="Q16" s="80">
        <f t="shared" si="1"/>
        <v>266</v>
      </c>
      <c r="R16" s="77">
        <v>399</v>
      </c>
      <c r="S16" s="75">
        <f t="shared" si="2"/>
        <v>4.4333333333333336</v>
      </c>
      <c r="T16" s="85">
        <v>2</v>
      </c>
      <c r="U16" s="86">
        <v>0.5</v>
      </c>
      <c r="V16" s="87">
        <v>5.3</v>
      </c>
      <c r="W16" s="89"/>
    </row>
    <row r="17" spans="1:23" s="84" customFormat="1" ht="33" customHeight="1" x14ac:dyDescent="0.35">
      <c r="A17" s="73">
        <v>95</v>
      </c>
      <c r="B17" s="74">
        <v>85</v>
      </c>
      <c r="C17" s="75">
        <v>21.2</v>
      </c>
      <c r="D17" s="76">
        <v>20.2</v>
      </c>
      <c r="E17" s="75">
        <v>26.2</v>
      </c>
      <c r="F17" s="78">
        <v>586</v>
      </c>
      <c r="G17" s="75">
        <v>31.6</v>
      </c>
      <c r="H17" s="78">
        <v>295</v>
      </c>
      <c r="I17" s="75">
        <v>17.8</v>
      </c>
      <c r="J17" s="76">
        <v>18.3</v>
      </c>
      <c r="K17" s="79">
        <v>11</v>
      </c>
      <c r="L17" s="77">
        <v>3</v>
      </c>
      <c r="M17" s="75">
        <v>20.2</v>
      </c>
      <c r="N17" s="76">
        <v>26.3</v>
      </c>
      <c r="O17" s="79">
        <f t="shared" si="0"/>
        <v>575</v>
      </c>
      <c r="P17" s="76">
        <v>31.3</v>
      </c>
      <c r="Q17" s="80">
        <f t="shared" si="1"/>
        <v>292</v>
      </c>
      <c r="R17" s="77">
        <v>428</v>
      </c>
      <c r="S17" s="75">
        <f t="shared" si="2"/>
        <v>4.5052631578947366</v>
      </c>
      <c r="T17" s="85">
        <v>2.1</v>
      </c>
      <c r="U17" s="86">
        <v>0.5</v>
      </c>
      <c r="V17" s="87">
        <v>5.8</v>
      </c>
      <c r="W17" s="89"/>
    </row>
    <row r="18" spans="1:23" s="84" customFormat="1" ht="33" customHeight="1" x14ac:dyDescent="0.35">
      <c r="A18" s="73">
        <v>100</v>
      </c>
      <c r="B18" s="74">
        <v>90</v>
      </c>
      <c r="C18" s="75">
        <v>21.7</v>
      </c>
      <c r="D18" s="76">
        <v>20.7</v>
      </c>
      <c r="E18" s="75">
        <v>27.3</v>
      </c>
      <c r="F18" s="78">
        <v>575</v>
      </c>
      <c r="G18" s="75">
        <v>33.6</v>
      </c>
      <c r="H18" s="78">
        <v>319</v>
      </c>
      <c r="I18" s="75">
        <v>18.2</v>
      </c>
      <c r="J18" s="76">
        <v>19.100000000000001</v>
      </c>
      <c r="K18" s="79">
        <v>11</v>
      </c>
      <c r="L18" s="77">
        <v>3</v>
      </c>
      <c r="M18" s="75">
        <v>20.7</v>
      </c>
      <c r="N18" s="76">
        <v>27.4</v>
      </c>
      <c r="O18" s="79">
        <f t="shared" si="0"/>
        <v>564</v>
      </c>
      <c r="P18" s="76">
        <v>33.200000000000003</v>
      </c>
      <c r="Q18" s="80">
        <f t="shared" si="1"/>
        <v>316</v>
      </c>
      <c r="R18" s="77">
        <v>455</v>
      </c>
      <c r="S18" s="75">
        <f t="shared" si="2"/>
        <v>4.55</v>
      </c>
      <c r="T18" s="85">
        <v>1.9</v>
      </c>
      <c r="U18" s="86">
        <v>0.5</v>
      </c>
      <c r="V18" s="87">
        <v>5.4</v>
      </c>
      <c r="W18" s="89"/>
    </row>
    <row r="19" spans="1:23" s="84" customFormat="1" ht="33" customHeight="1" x14ac:dyDescent="0.35">
      <c r="A19" s="73">
        <v>105</v>
      </c>
      <c r="B19" s="74">
        <v>95</v>
      </c>
      <c r="C19" s="75">
        <v>22.1</v>
      </c>
      <c r="D19" s="76">
        <v>21.1</v>
      </c>
      <c r="E19" s="75">
        <v>28.2</v>
      </c>
      <c r="F19" s="78">
        <v>564</v>
      </c>
      <c r="G19" s="75">
        <v>35.1</v>
      </c>
      <c r="H19" s="78">
        <v>340</v>
      </c>
      <c r="I19" s="75">
        <v>18.5</v>
      </c>
      <c r="J19" s="76">
        <v>19.7</v>
      </c>
      <c r="K19" s="79">
        <v>11</v>
      </c>
      <c r="L19" s="77">
        <v>4</v>
      </c>
      <c r="M19" s="75">
        <v>21.2</v>
      </c>
      <c r="N19" s="76">
        <v>28.3</v>
      </c>
      <c r="O19" s="79">
        <f t="shared" si="0"/>
        <v>553</v>
      </c>
      <c r="P19" s="76">
        <v>34.799999999999997</v>
      </c>
      <c r="Q19" s="80">
        <f t="shared" si="1"/>
        <v>336</v>
      </c>
      <c r="R19" s="77">
        <v>479</v>
      </c>
      <c r="S19" s="75">
        <f t="shared" si="2"/>
        <v>4.5619047619047617</v>
      </c>
      <c r="T19" s="85">
        <v>1.5</v>
      </c>
      <c r="U19" s="86">
        <v>0.4</v>
      </c>
      <c r="V19" s="87">
        <v>4.7</v>
      </c>
      <c r="W19" s="89"/>
    </row>
    <row r="20" spans="1:23" s="84" customFormat="1" ht="33" customHeight="1" x14ac:dyDescent="0.35">
      <c r="A20" s="73">
        <v>110</v>
      </c>
      <c r="B20" s="74">
        <v>100</v>
      </c>
      <c r="C20" s="75">
        <v>22.5</v>
      </c>
      <c r="D20" s="76">
        <v>21.5</v>
      </c>
      <c r="E20" s="75">
        <v>29</v>
      </c>
      <c r="F20" s="78">
        <v>553</v>
      </c>
      <c r="G20" s="75">
        <v>36.700000000000003</v>
      </c>
      <c r="H20" s="78">
        <v>359</v>
      </c>
      <c r="I20" s="75">
        <v>18.8</v>
      </c>
      <c r="J20" s="76">
        <v>20.3</v>
      </c>
      <c r="K20" s="80">
        <v>11</v>
      </c>
      <c r="L20" s="78">
        <v>3</v>
      </c>
      <c r="M20" s="75">
        <v>21.6</v>
      </c>
      <c r="N20" s="76">
        <v>29.2</v>
      </c>
      <c r="O20" s="79">
        <f t="shared" si="0"/>
        <v>542</v>
      </c>
      <c r="P20" s="76">
        <v>36.299999999999997</v>
      </c>
      <c r="Q20" s="80">
        <f t="shared" si="1"/>
        <v>356</v>
      </c>
      <c r="R20" s="78">
        <v>502</v>
      </c>
      <c r="S20" s="75">
        <f t="shared" si="2"/>
        <v>4.5636363636363635</v>
      </c>
      <c r="T20" s="85">
        <v>1.5</v>
      </c>
      <c r="U20" s="86">
        <v>0.4</v>
      </c>
      <c r="V20" s="87">
        <v>4.5999999999999996</v>
      </c>
      <c r="W20" s="89"/>
    </row>
    <row r="21" spans="1:23" x14ac:dyDescent="0.35">
      <c r="A21" s="90"/>
      <c r="B21" s="91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</row>
    <row r="22" spans="1:23" x14ac:dyDescent="0.35">
      <c r="B22" s="95"/>
    </row>
    <row r="23" spans="1:23" x14ac:dyDescent="0.35">
      <c r="O23" s="94" t="s">
        <v>112</v>
      </c>
      <c r="Q23" s="94" t="s">
        <v>112</v>
      </c>
      <c r="S23" s="94" t="s">
        <v>112</v>
      </c>
    </row>
  </sheetData>
  <mergeCells count="9">
    <mergeCell ref="A1:V1"/>
    <mergeCell ref="A2:H2"/>
    <mergeCell ref="I2:Q2"/>
    <mergeCell ref="R2:V2"/>
    <mergeCell ref="A3:B3"/>
    <mergeCell ref="C3:H3"/>
    <mergeCell ref="I3:L3"/>
    <mergeCell ref="M3:Q3"/>
    <mergeCell ref="T3:V3"/>
  </mergeCells>
  <pageMargins left="0.79000000000000015" right="0.79000000000000015" top="1" bottom="1" header="0.5" footer="0.5"/>
  <pageSetup paperSize="9" scale="54" orientation="landscape" horizontalDpi="4294967292" verticalDpi="4294967292"/>
  <rowBreaks count="1" manualBreakCount="1">
    <brk id="21" max="16383" man="1"/>
  </rowBreaks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W23"/>
  <sheetViews>
    <sheetView zoomScale="75" zoomScaleNormal="75" zoomScalePageLayoutView="75" workbookViewId="0">
      <selection activeCell="X41" sqref="X41"/>
    </sheetView>
  </sheetViews>
  <sheetFormatPr baseColWidth="10" defaultColWidth="12.42578125" defaultRowHeight="23.25" x14ac:dyDescent="0.35"/>
  <cols>
    <col min="1" max="3" width="10.28515625" style="94" customWidth="1"/>
    <col min="4" max="4" width="10.28515625" style="96" customWidth="1"/>
    <col min="5" max="5" width="10.28515625" style="94" customWidth="1"/>
    <col min="6" max="6" width="10.28515625" style="96" customWidth="1"/>
    <col min="7" max="7" width="10.28515625" style="94" customWidth="1"/>
    <col min="8" max="8" width="10.28515625" style="96" customWidth="1"/>
    <col min="9" max="9" width="10.28515625" style="94" customWidth="1"/>
    <col min="10" max="10" width="10.28515625" style="96" customWidth="1"/>
    <col min="11" max="11" width="10.28515625" style="94" customWidth="1"/>
    <col min="12" max="12" width="10.28515625" style="96" customWidth="1"/>
    <col min="13" max="13" width="10.28515625" style="94" customWidth="1"/>
    <col min="14" max="14" width="10.28515625" style="96" customWidth="1"/>
    <col min="15" max="15" width="10.28515625" style="94" customWidth="1"/>
    <col min="16" max="16" width="10.28515625" style="96" customWidth="1"/>
    <col min="17" max="17" width="10.28515625" style="94" customWidth="1"/>
    <col min="18" max="18" width="13" style="96" customWidth="1"/>
    <col min="19" max="19" width="12.7109375" style="94" customWidth="1"/>
    <col min="20" max="20" width="13.5703125" style="96" customWidth="1"/>
    <col min="21" max="21" width="12.42578125" style="94" customWidth="1"/>
    <col min="22" max="22" width="12.7109375" style="96" customWidth="1"/>
    <col min="23" max="16384" width="12.42578125" style="94"/>
  </cols>
  <sheetData>
    <row r="1" spans="1:23" s="66" customFormat="1" ht="38.1" customHeight="1" x14ac:dyDescent="0.25">
      <c r="A1" s="269" t="s">
        <v>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</row>
    <row r="2" spans="1:23" s="66" customFormat="1" ht="33" customHeight="1" thickBot="1" x14ac:dyDescent="0.3">
      <c r="A2" s="272" t="s">
        <v>90</v>
      </c>
      <c r="B2" s="273"/>
      <c r="C2" s="273"/>
      <c r="D2" s="273"/>
      <c r="E2" s="273"/>
      <c r="F2" s="273"/>
      <c r="G2" s="273"/>
      <c r="H2" s="273"/>
      <c r="I2" s="273" t="s">
        <v>119</v>
      </c>
      <c r="J2" s="273"/>
      <c r="K2" s="273"/>
      <c r="L2" s="273"/>
      <c r="M2" s="273"/>
      <c r="N2" s="273"/>
      <c r="O2" s="273"/>
      <c r="P2" s="273"/>
      <c r="Q2" s="273"/>
      <c r="R2" s="273" t="s">
        <v>92</v>
      </c>
      <c r="S2" s="273"/>
      <c r="T2" s="273"/>
      <c r="U2" s="273"/>
      <c r="V2" s="274"/>
    </row>
    <row r="3" spans="1:23" s="66" customFormat="1" ht="47.25" thickBot="1" x14ac:dyDescent="0.3">
      <c r="A3" s="275" t="s">
        <v>2</v>
      </c>
      <c r="B3" s="276"/>
      <c r="C3" s="277" t="s">
        <v>93</v>
      </c>
      <c r="D3" s="278"/>
      <c r="E3" s="278"/>
      <c r="F3" s="278"/>
      <c r="G3" s="278"/>
      <c r="H3" s="279"/>
      <c r="I3" s="277" t="s">
        <v>94</v>
      </c>
      <c r="J3" s="278"/>
      <c r="K3" s="278"/>
      <c r="L3" s="279"/>
      <c r="M3" s="277" t="s">
        <v>95</v>
      </c>
      <c r="N3" s="278"/>
      <c r="O3" s="278"/>
      <c r="P3" s="278"/>
      <c r="Q3" s="279"/>
      <c r="R3" s="67" t="s">
        <v>96</v>
      </c>
      <c r="S3" s="68" t="s">
        <v>97</v>
      </c>
      <c r="T3" s="277" t="s">
        <v>98</v>
      </c>
      <c r="U3" s="278"/>
      <c r="V3" s="280"/>
    </row>
    <row r="4" spans="1:23" s="72" customFormat="1" ht="46.5" x14ac:dyDescent="0.25">
      <c r="A4" s="69" t="s">
        <v>99</v>
      </c>
      <c r="B4" s="70" t="s">
        <v>100</v>
      </c>
      <c r="C4" s="70" t="s">
        <v>101</v>
      </c>
      <c r="D4" s="70" t="s">
        <v>102</v>
      </c>
      <c r="E4" s="70" t="s">
        <v>103</v>
      </c>
      <c r="F4" s="70" t="s">
        <v>104</v>
      </c>
      <c r="G4" s="70" t="s">
        <v>105</v>
      </c>
      <c r="H4" s="70" t="s">
        <v>106</v>
      </c>
      <c r="I4" s="70" t="s">
        <v>107</v>
      </c>
      <c r="J4" s="70" t="s">
        <v>103</v>
      </c>
      <c r="K4" s="70" t="s">
        <v>104</v>
      </c>
      <c r="L4" s="70" t="s">
        <v>106</v>
      </c>
      <c r="M4" s="70" t="s">
        <v>107</v>
      </c>
      <c r="N4" s="70" t="s">
        <v>103</v>
      </c>
      <c r="O4" s="70" t="s">
        <v>104</v>
      </c>
      <c r="P4" s="70" t="s">
        <v>105</v>
      </c>
      <c r="Q4" s="70" t="s">
        <v>106</v>
      </c>
      <c r="R4" s="70" t="s">
        <v>108</v>
      </c>
      <c r="S4" s="70" t="s">
        <v>109</v>
      </c>
      <c r="T4" s="70" t="s">
        <v>110</v>
      </c>
      <c r="U4" s="70" t="s">
        <v>111</v>
      </c>
      <c r="V4" s="71" t="s">
        <v>109</v>
      </c>
    </row>
    <row r="5" spans="1:23" s="84" customFormat="1" ht="33" customHeight="1" x14ac:dyDescent="0.35">
      <c r="A5" s="73">
        <v>26</v>
      </c>
      <c r="B5" s="74">
        <v>17</v>
      </c>
      <c r="C5" s="75">
        <v>9</v>
      </c>
      <c r="D5" s="76">
        <v>7.6</v>
      </c>
      <c r="E5" s="75">
        <v>9.6999999999999993</v>
      </c>
      <c r="F5" s="77">
        <v>2000</v>
      </c>
      <c r="G5" s="75">
        <v>14.7</v>
      </c>
      <c r="H5" s="78">
        <v>62</v>
      </c>
      <c r="I5" s="75"/>
      <c r="J5" s="76"/>
      <c r="K5" s="79"/>
      <c r="L5" s="77"/>
      <c r="M5" s="75">
        <v>7.6</v>
      </c>
      <c r="N5" s="76">
        <v>9.6999999999999993</v>
      </c>
      <c r="O5" s="79">
        <f>F5-K5</f>
        <v>2000</v>
      </c>
      <c r="P5" s="76">
        <v>14.7</v>
      </c>
      <c r="Q5" s="80">
        <f>H5-L5</f>
        <v>62</v>
      </c>
      <c r="R5" s="77">
        <v>62</v>
      </c>
      <c r="S5" s="75">
        <f>R5/A5</f>
        <v>2.3846153846153846</v>
      </c>
      <c r="T5" s="81"/>
      <c r="U5" s="82"/>
      <c r="V5" s="83"/>
    </row>
    <row r="6" spans="1:23" s="84" customFormat="1" ht="33" customHeight="1" x14ac:dyDescent="0.35">
      <c r="A6" s="73">
        <v>30</v>
      </c>
      <c r="B6" s="74">
        <v>21</v>
      </c>
      <c r="C6" s="75">
        <v>19.600000000000001</v>
      </c>
      <c r="D6" s="76">
        <v>9.1999999999999993</v>
      </c>
      <c r="E6" s="75">
        <v>10.8</v>
      </c>
      <c r="F6" s="77">
        <v>2000</v>
      </c>
      <c r="G6" s="75">
        <v>18.3</v>
      </c>
      <c r="H6" s="78">
        <v>87</v>
      </c>
      <c r="I6" s="75">
        <v>8.6</v>
      </c>
      <c r="J6" s="76">
        <v>7.5</v>
      </c>
      <c r="K6" s="79">
        <v>31</v>
      </c>
      <c r="L6" s="77">
        <v>1</v>
      </c>
      <c r="M6" s="75">
        <v>9.1999999999999993</v>
      </c>
      <c r="N6" s="76">
        <v>10.8</v>
      </c>
      <c r="O6" s="79">
        <f t="shared" ref="O6:O20" si="0">F6-K6</f>
        <v>1969</v>
      </c>
      <c r="P6" s="76">
        <v>18.100000000000001</v>
      </c>
      <c r="Q6" s="80">
        <f t="shared" ref="Q6:Q20" si="1">H6-L6</f>
        <v>86</v>
      </c>
      <c r="R6" s="77">
        <v>87</v>
      </c>
      <c r="S6" s="75">
        <f t="shared" ref="S6:S20" si="2">R6/A6</f>
        <v>2.9</v>
      </c>
      <c r="T6" s="85">
        <v>2.7</v>
      </c>
      <c r="U6" s="86">
        <v>0.9</v>
      </c>
      <c r="V6" s="87">
        <v>6.3</v>
      </c>
    </row>
    <row r="7" spans="1:23" s="84" customFormat="1" ht="33" customHeight="1" x14ac:dyDescent="0.35">
      <c r="A7" s="73">
        <v>34</v>
      </c>
      <c r="B7" s="74">
        <v>25</v>
      </c>
      <c r="C7" s="75">
        <v>12.1</v>
      </c>
      <c r="D7" s="76">
        <v>10.6</v>
      </c>
      <c r="E7" s="75">
        <v>11.8</v>
      </c>
      <c r="F7" s="77">
        <v>1969</v>
      </c>
      <c r="G7" s="75">
        <v>21.7</v>
      </c>
      <c r="H7" s="78">
        <v>118</v>
      </c>
      <c r="I7" s="75">
        <v>9.8000000000000007</v>
      </c>
      <c r="J7" s="76">
        <v>8.3000000000000007</v>
      </c>
      <c r="K7" s="79">
        <v>31</v>
      </c>
      <c r="L7" s="77">
        <v>1</v>
      </c>
      <c r="M7" s="75">
        <v>10.6</v>
      </c>
      <c r="N7" s="76">
        <v>11.9</v>
      </c>
      <c r="O7" s="79">
        <f t="shared" si="0"/>
        <v>1938</v>
      </c>
      <c r="P7" s="76">
        <v>21.5</v>
      </c>
      <c r="Q7" s="80">
        <f t="shared" si="1"/>
        <v>117</v>
      </c>
      <c r="R7" s="77">
        <v>119</v>
      </c>
      <c r="S7" s="75">
        <f t="shared" si="2"/>
        <v>3.5</v>
      </c>
      <c r="T7" s="85">
        <v>2.5</v>
      </c>
      <c r="U7" s="86">
        <v>0.9</v>
      </c>
      <c r="V7" s="87">
        <v>7.8</v>
      </c>
    </row>
    <row r="8" spans="1:23" s="84" customFormat="1" ht="33" customHeight="1" x14ac:dyDescent="0.35">
      <c r="A8" s="73">
        <v>39</v>
      </c>
      <c r="B8" s="74">
        <v>30</v>
      </c>
      <c r="C8" s="75">
        <v>13.9</v>
      </c>
      <c r="D8" s="76">
        <v>12.3</v>
      </c>
      <c r="E8" s="75">
        <v>13.1</v>
      </c>
      <c r="F8" s="77">
        <v>1938</v>
      </c>
      <c r="G8" s="75">
        <v>26</v>
      </c>
      <c r="H8" s="78">
        <v>160</v>
      </c>
      <c r="I8" s="75">
        <v>11.6</v>
      </c>
      <c r="J8" s="76">
        <v>10.3</v>
      </c>
      <c r="K8" s="79">
        <v>700</v>
      </c>
      <c r="L8" s="77">
        <v>34</v>
      </c>
      <c r="M8" s="75">
        <v>12.5</v>
      </c>
      <c r="N8" s="76">
        <v>14.4</v>
      </c>
      <c r="O8" s="79">
        <f t="shared" si="0"/>
        <v>1238</v>
      </c>
      <c r="P8" s="76">
        <v>20.100000000000001</v>
      </c>
      <c r="Q8" s="80">
        <f t="shared" si="1"/>
        <v>126</v>
      </c>
      <c r="R8" s="77">
        <v>162</v>
      </c>
      <c r="S8" s="75">
        <f t="shared" si="2"/>
        <v>4.1538461538461542</v>
      </c>
      <c r="T8" s="85">
        <v>2.2999999999999998</v>
      </c>
      <c r="U8" s="86">
        <v>0.9</v>
      </c>
      <c r="V8" s="87">
        <v>8.6999999999999993</v>
      </c>
    </row>
    <row r="9" spans="1:23" s="84" customFormat="1" ht="33" customHeight="1" x14ac:dyDescent="0.35">
      <c r="A9" s="73">
        <v>44</v>
      </c>
      <c r="B9" s="74">
        <v>35</v>
      </c>
      <c r="C9" s="75">
        <v>15.5</v>
      </c>
      <c r="D9" s="76">
        <v>14</v>
      </c>
      <c r="E9" s="75">
        <v>15.8</v>
      </c>
      <c r="F9" s="77">
        <v>1238</v>
      </c>
      <c r="G9" s="75">
        <v>24.2</v>
      </c>
      <c r="H9" s="78">
        <v>168</v>
      </c>
      <c r="I9" s="75">
        <v>12.6</v>
      </c>
      <c r="J9" s="76">
        <v>11</v>
      </c>
      <c r="K9" s="79">
        <v>24</v>
      </c>
      <c r="L9" s="77">
        <v>1</v>
      </c>
      <c r="M9" s="75">
        <v>14</v>
      </c>
      <c r="N9" s="76">
        <v>15.8</v>
      </c>
      <c r="O9" s="79">
        <f t="shared" si="0"/>
        <v>1214</v>
      </c>
      <c r="P9" s="76">
        <v>23.9</v>
      </c>
      <c r="Q9" s="80">
        <f t="shared" si="1"/>
        <v>167</v>
      </c>
      <c r="R9" s="77">
        <v>204</v>
      </c>
      <c r="S9" s="75">
        <f t="shared" si="2"/>
        <v>4.6363636363636367</v>
      </c>
      <c r="T9" s="85">
        <v>2.8</v>
      </c>
      <c r="U9" s="86">
        <v>0.8</v>
      </c>
      <c r="V9" s="87">
        <v>8.4</v>
      </c>
    </row>
    <row r="10" spans="1:23" s="84" customFormat="1" ht="33" customHeight="1" x14ac:dyDescent="0.35">
      <c r="A10" s="73">
        <v>49</v>
      </c>
      <c r="B10" s="74">
        <v>40</v>
      </c>
      <c r="C10" s="75">
        <v>17</v>
      </c>
      <c r="D10" s="76">
        <v>15.4</v>
      </c>
      <c r="E10" s="75">
        <v>17.2</v>
      </c>
      <c r="F10" s="77">
        <v>1214</v>
      </c>
      <c r="G10" s="75">
        <v>28.3</v>
      </c>
      <c r="H10" s="78">
        <v>214</v>
      </c>
      <c r="I10" s="75">
        <v>13.8</v>
      </c>
      <c r="J10" s="76">
        <v>12.1</v>
      </c>
      <c r="K10" s="79">
        <v>24</v>
      </c>
      <c r="L10" s="77">
        <v>2</v>
      </c>
      <c r="M10" s="75">
        <v>15.4</v>
      </c>
      <c r="N10" s="76">
        <v>17.3</v>
      </c>
      <c r="O10" s="79">
        <f t="shared" si="0"/>
        <v>1190</v>
      </c>
      <c r="P10" s="76">
        <v>28</v>
      </c>
      <c r="Q10" s="80">
        <f t="shared" si="1"/>
        <v>212</v>
      </c>
      <c r="R10" s="77">
        <v>251</v>
      </c>
      <c r="S10" s="75">
        <f t="shared" si="2"/>
        <v>5.1224489795918364</v>
      </c>
      <c r="T10" s="85">
        <v>2.8</v>
      </c>
      <c r="U10" s="86">
        <v>0.9</v>
      </c>
      <c r="V10" s="87">
        <v>9.4</v>
      </c>
    </row>
    <row r="11" spans="1:23" s="84" customFormat="1" ht="33" customHeight="1" x14ac:dyDescent="0.35">
      <c r="A11" s="73">
        <v>53</v>
      </c>
      <c r="B11" s="74">
        <v>44</v>
      </c>
      <c r="C11" s="75">
        <v>18.100000000000001</v>
      </c>
      <c r="D11" s="76">
        <v>16.399999999999999</v>
      </c>
      <c r="E11" s="75">
        <v>18.3</v>
      </c>
      <c r="F11" s="77">
        <v>1190</v>
      </c>
      <c r="G11" s="75">
        <v>31.3</v>
      </c>
      <c r="H11" s="78">
        <v>250</v>
      </c>
      <c r="I11" s="75">
        <v>15.6</v>
      </c>
      <c r="J11" s="76">
        <v>15.5</v>
      </c>
      <c r="K11" s="79">
        <v>500</v>
      </c>
      <c r="L11" s="77">
        <v>73</v>
      </c>
      <c r="M11" s="75">
        <v>16.8</v>
      </c>
      <c r="N11" s="76">
        <v>20.100000000000001</v>
      </c>
      <c r="O11" s="79">
        <f t="shared" si="0"/>
        <v>690</v>
      </c>
      <c r="P11" s="76">
        <v>21.9</v>
      </c>
      <c r="Q11" s="80">
        <f t="shared" si="1"/>
        <v>177</v>
      </c>
      <c r="R11" s="77">
        <v>289</v>
      </c>
      <c r="S11" s="75">
        <f t="shared" si="2"/>
        <v>5.4528301886792452</v>
      </c>
      <c r="T11" s="85">
        <v>2.5</v>
      </c>
      <c r="U11" s="86">
        <v>0.8</v>
      </c>
      <c r="V11" s="87">
        <v>9.4</v>
      </c>
    </row>
    <row r="12" spans="1:23" s="84" customFormat="1" ht="33" customHeight="1" x14ac:dyDescent="0.35">
      <c r="A12" s="73">
        <v>59</v>
      </c>
      <c r="B12" s="74">
        <v>50</v>
      </c>
      <c r="C12" s="75">
        <v>19.5</v>
      </c>
      <c r="D12" s="76">
        <v>18.2</v>
      </c>
      <c r="E12" s="75">
        <v>21.9</v>
      </c>
      <c r="F12" s="77">
        <v>690</v>
      </c>
      <c r="G12" s="75">
        <v>26</v>
      </c>
      <c r="H12" s="78">
        <v>225</v>
      </c>
      <c r="I12" s="75">
        <v>16.3</v>
      </c>
      <c r="J12" s="76">
        <v>15.3</v>
      </c>
      <c r="K12" s="79">
        <v>16</v>
      </c>
      <c r="L12" s="77">
        <v>3</v>
      </c>
      <c r="M12" s="75">
        <v>18.2</v>
      </c>
      <c r="N12" s="76">
        <v>22</v>
      </c>
      <c r="O12" s="79">
        <f t="shared" si="0"/>
        <v>674</v>
      </c>
      <c r="P12" s="76">
        <v>25.7</v>
      </c>
      <c r="Q12" s="80">
        <f t="shared" si="1"/>
        <v>222</v>
      </c>
      <c r="R12" s="77">
        <v>337</v>
      </c>
      <c r="S12" s="75">
        <f t="shared" si="2"/>
        <v>5.7118644067796609</v>
      </c>
      <c r="T12" s="85">
        <v>3</v>
      </c>
      <c r="U12" s="86">
        <v>0.7</v>
      </c>
      <c r="V12" s="87">
        <v>7.9</v>
      </c>
    </row>
    <row r="13" spans="1:23" s="84" customFormat="1" ht="33" customHeight="1" x14ac:dyDescent="0.35">
      <c r="A13" s="73">
        <v>64</v>
      </c>
      <c r="B13" s="74">
        <v>55</v>
      </c>
      <c r="C13" s="75">
        <v>20.6</v>
      </c>
      <c r="D13" s="76">
        <v>19.3</v>
      </c>
      <c r="E13" s="88">
        <v>23.6</v>
      </c>
      <c r="F13" s="77">
        <v>674</v>
      </c>
      <c r="G13" s="75">
        <v>29.4</v>
      </c>
      <c r="H13" s="78">
        <v>267</v>
      </c>
      <c r="I13" s="75">
        <v>17.100000000000001</v>
      </c>
      <c r="J13" s="76">
        <v>16.5</v>
      </c>
      <c r="K13" s="79">
        <v>13</v>
      </c>
      <c r="L13" s="77">
        <v>3</v>
      </c>
      <c r="M13" s="75">
        <v>19.3</v>
      </c>
      <c r="N13" s="76">
        <v>23.7</v>
      </c>
      <c r="O13" s="79">
        <f t="shared" si="0"/>
        <v>661</v>
      </c>
      <c r="P13" s="76">
        <v>29.2</v>
      </c>
      <c r="Q13" s="80">
        <f t="shared" si="1"/>
        <v>264</v>
      </c>
      <c r="R13" s="77">
        <v>382</v>
      </c>
      <c r="S13" s="75">
        <f t="shared" si="2"/>
        <v>5.96875</v>
      </c>
      <c r="T13" s="85">
        <v>3.1</v>
      </c>
      <c r="U13" s="86">
        <v>0.7</v>
      </c>
      <c r="V13" s="87">
        <v>8.8000000000000007</v>
      </c>
    </row>
    <row r="14" spans="1:23" s="84" customFormat="1" ht="33" customHeight="1" x14ac:dyDescent="0.35">
      <c r="A14" s="73">
        <v>70</v>
      </c>
      <c r="B14" s="74">
        <v>61</v>
      </c>
      <c r="C14" s="75">
        <v>21.7</v>
      </c>
      <c r="D14" s="76">
        <v>20.399999999999999</v>
      </c>
      <c r="E14" s="88">
        <v>25.3</v>
      </c>
      <c r="F14" s="77">
        <v>661</v>
      </c>
      <c r="G14" s="75">
        <v>33.299999999999997</v>
      </c>
      <c r="H14" s="78">
        <v>316</v>
      </c>
      <c r="I14" s="75">
        <v>18</v>
      </c>
      <c r="J14" s="76">
        <v>17.7</v>
      </c>
      <c r="K14" s="79">
        <v>15</v>
      </c>
      <c r="L14" s="77">
        <v>4</v>
      </c>
      <c r="M14" s="75">
        <v>20.5</v>
      </c>
      <c r="N14" s="76">
        <v>25.5</v>
      </c>
      <c r="O14" s="79">
        <f t="shared" si="0"/>
        <v>646</v>
      </c>
      <c r="P14" s="76">
        <v>32.9</v>
      </c>
      <c r="Q14" s="80">
        <f t="shared" si="1"/>
        <v>312</v>
      </c>
      <c r="R14" s="77">
        <v>434</v>
      </c>
      <c r="S14" s="75">
        <f t="shared" si="2"/>
        <v>6.2</v>
      </c>
      <c r="T14" s="85">
        <v>2.7</v>
      </c>
      <c r="U14" s="86">
        <v>0.7</v>
      </c>
      <c r="V14" s="87">
        <v>8.5</v>
      </c>
    </row>
    <row r="15" spans="1:23" s="84" customFormat="1" ht="33" customHeight="1" x14ac:dyDescent="0.35">
      <c r="A15" s="73">
        <v>75</v>
      </c>
      <c r="B15" s="74">
        <v>66</v>
      </c>
      <c r="C15" s="75">
        <v>22.6</v>
      </c>
      <c r="D15" s="76">
        <v>21.3</v>
      </c>
      <c r="E15" s="88">
        <v>26.6</v>
      </c>
      <c r="F15" s="77">
        <v>646</v>
      </c>
      <c r="G15" s="75">
        <v>35.799999999999997</v>
      </c>
      <c r="H15" s="78">
        <v>350</v>
      </c>
      <c r="I15" s="75">
        <v>18.600000000000001</v>
      </c>
      <c r="J15" s="76">
        <v>18.600000000000001</v>
      </c>
      <c r="K15" s="79">
        <v>12</v>
      </c>
      <c r="L15" s="77">
        <v>3</v>
      </c>
      <c r="M15" s="75">
        <v>21.3</v>
      </c>
      <c r="N15" s="76">
        <v>26.7</v>
      </c>
      <c r="O15" s="79">
        <f t="shared" si="0"/>
        <v>634</v>
      </c>
      <c r="P15" s="76">
        <v>35.5</v>
      </c>
      <c r="Q15" s="80">
        <f t="shared" si="1"/>
        <v>347</v>
      </c>
      <c r="R15" s="77">
        <v>472</v>
      </c>
      <c r="S15" s="75">
        <f t="shared" si="2"/>
        <v>6.293333333333333</v>
      </c>
      <c r="T15" s="85">
        <v>2.2000000000000002</v>
      </c>
      <c r="U15" s="86">
        <v>0.6</v>
      </c>
      <c r="V15" s="87">
        <v>7.6</v>
      </c>
      <c r="W15" s="89"/>
    </row>
    <row r="16" spans="1:23" s="84" customFormat="1" ht="33" customHeight="1" x14ac:dyDescent="0.35">
      <c r="A16" s="73">
        <v>80</v>
      </c>
      <c r="B16" s="74">
        <v>71</v>
      </c>
      <c r="C16" s="75">
        <v>23.3</v>
      </c>
      <c r="D16" s="76">
        <v>22</v>
      </c>
      <c r="E16" s="88">
        <v>27.7</v>
      </c>
      <c r="F16" s="77">
        <v>634</v>
      </c>
      <c r="G16" s="75">
        <v>38.299999999999997</v>
      </c>
      <c r="H16" s="78">
        <v>385</v>
      </c>
      <c r="I16" s="75">
        <v>19.2</v>
      </c>
      <c r="J16" s="76">
        <v>19.399999999999999</v>
      </c>
      <c r="K16" s="79">
        <v>12</v>
      </c>
      <c r="L16" s="77">
        <v>3</v>
      </c>
      <c r="M16" s="75">
        <v>22</v>
      </c>
      <c r="N16" s="76">
        <v>27.9</v>
      </c>
      <c r="O16" s="79">
        <f t="shared" si="0"/>
        <v>622</v>
      </c>
      <c r="P16" s="76">
        <v>38</v>
      </c>
      <c r="Q16" s="80">
        <f t="shared" si="1"/>
        <v>382</v>
      </c>
      <c r="R16" s="77">
        <v>510</v>
      </c>
      <c r="S16" s="75">
        <f t="shared" si="2"/>
        <v>6.375</v>
      </c>
      <c r="T16" s="85">
        <v>2.1</v>
      </c>
      <c r="U16" s="86">
        <v>0.6</v>
      </c>
      <c r="V16" s="87">
        <v>7.6</v>
      </c>
      <c r="W16" s="89"/>
    </row>
    <row r="17" spans="1:23" s="84" customFormat="1" ht="33" customHeight="1" x14ac:dyDescent="0.35">
      <c r="A17" s="73">
        <v>85</v>
      </c>
      <c r="B17" s="74">
        <v>76</v>
      </c>
      <c r="C17" s="75">
        <v>24</v>
      </c>
      <c r="D17" s="76">
        <v>22.7</v>
      </c>
      <c r="E17" s="75">
        <v>28.9</v>
      </c>
      <c r="F17" s="78">
        <v>622</v>
      </c>
      <c r="G17" s="75">
        <v>40.799999999999997</v>
      </c>
      <c r="H17" s="78">
        <v>419</v>
      </c>
      <c r="I17" s="75">
        <v>19.600000000000001</v>
      </c>
      <c r="J17" s="76">
        <v>20.2</v>
      </c>
      <c r="K17" s="79">
        <v>12</v>
      </c>
      <c r="L17" s="77">
        <v>3</v>
      </c>
      <c r="M17" s="75">
        <v>22.7</v>
      </c>
      <c r="N17" s="76">
        <v>29</v>
      </c>
      <c r="O17" s="79">
        <f t="shared" si="0"/>
        <v>610</v>
      </c>
      <c r="P17" s="76">
        <v>40.4</v>
      </c>
      <c r="Q17" s="80">
        <f t="shared" si="1"/>
        <v>416</v>
      </c>
      <c r="R17" s="77">
        <v>547</v>
      </c>
      <c r="S17" s="75">
        <f t="shared" si="2"/>
        <v>6.4352941176470591</v>
      </c>
      <c r="T17" s="85">
        <v>2</v>
      </c>
      <c r="U17" s="86">
        <v>0.6</v>
      </c>
      <c r="V17" s="87">
        <v>7.5</v>
      </c>
      <c r="W17" s="89"/>
    </row>
    <row r="18" spans="1:23" s="84" customFormat="1" ht="33" customHeight="1" x14ac:dyDescent="0.35">
      <c r="A18" s="73">
        <v>90</v>
      </c>
      <c r="B18" s="74">
        <v>81</v>
      </c>
      <c r="C18" s="75">
        <v>24.6</v>
      </c>
      <c r="D18" s="76">
        <v>23.3</v>
      </c>
      <c r="E18" s="75">
        <v>30</v>
      </c>
      <c r="F18" s="78">
        <v>610</v>
      </c>
      <c r="G18" s="75">
        <v>43.2</v>
      </c>
      <c r="H18" s="78">
        <v>453</v>
      </c>
      <c r="I18" s="75">
        <v>20.100000000000001</v>
      </c>
      <c r="J18" s="76">
        <v>21</v>
      </c>
      <c r="K18" s="79">
        <v>12</v>
      </c>
      <c r="L18" s="77">
        <v>4</v>
      </c>
      <c r="M18" s="75">
        <v>23.3</v>
      </c>
      <c r="N18" s="76">
        <v>30.2</v>
      </c>
      <c r="O18" s="79">
        <f t="shared" si="0"/>
        <v>598</v>
      </c>
      <c r="P18" s="76">
        <v>42.7</v>
      </c>
      <c r="Q18" s="80">
        <f t="shared" si="1"/>
        <v>449</v>
      </c>
      <c r="R18" s="77">
        <v>584</v>
      </c>
      <c r="S18" s="75">
        <f t="shared" si="2"/>
        <v>6.4888888888888889</v>
      </c>
      <c r="T18" s="85">
        <v>2</v>
      </c>
      <c r="U18" s="86">
        <v>0.6</v>
      </c>
      <c r="V18" s="87">
        <v>7.4</v>
      </c>
      <c r="W18" s="89"/>
    </row>
    <row r="19" spans="1:23" s="84" customFormat="1" ht="33" customHeight="1" x14ac:dyDescent="0.35">
      <c r="A19" s="73">
        <v>95</v>
      </c>
      <c r="B19" s="74">
        <v>86</v>
      </c>
      <c r="C19" s="75">
        <v>25.2</v>
      </c>
      <c r="D19" s="76">
        <v>23.8</v>
      </c>
      <c r="E19" s="75">
        <v>31.1</v>
      </c>
      <c r="F19" s="78">
        <v>598</v>
      </c>
      <c r="G19" s="75">
        <v>45.5</v>
      </c>
      <c r="H19" s="78">
        <v>486</v>
      </c>
      <c r="I19" s="75">
        <v>20.399999999999999</v>
      </c>
      <c r="J19" s="76">
        <v>21.8</v>
      </c>
      <c r="K19" s="79">
        <v>11</v>
      </c>
      <c r="L19" s="77">
        <v>4</v>
      </c>
      <c r="M19" s="75">
        <v>23.8</v>
      </c>
      <c r="N19" s="76">
        <v>31.3</v>
      </c>
      <c r="O19" s="79">
        <f t="shared" si="0"/>
        <v>587</v>
      </c>
      <c r="P19" s="76">
        <v>45.1</v>
      </c>
      <c r="Q19" s="80">
        <f t="shared" si="1"/>
        <v>482</v>
      </c>
      <c r="R19" s="77">
        <v>621</v>
      </c>
      <c r="S19" s="75">
        <f t="shared" si="2"/>
        <v>6.5368421052631582</v>
      </c>
      <c r="T19" s="85">
        <v>1.9</v>
      </c>
      <c r="U19" s="86">
        <v>0.5</v>
      </c>
      <c r="V19" s="87">
        <v>7.4</v>
      </c>
      <c r="W19" s="89"/>
    </row>
    <row r="20" spans="1:23" s="84" customFormat="1" ht="33" customHeight="1" x14ac:dyDescent="0.35">
      <c r="A20" s="73">
        <v>100</v>
      </c>
      <c r="B20" s="74">
        <v>91</v>
      </c>
      <c r="C20" s="75">
        <v>25.6</v>
      </c>
      <c r="D20" s="76">
        <v>24.3</v>
      </c>
      <c r="E20" s="75">
        <v>32.200000000000003</v>
      </c>
      <c r="F20" s="78">
        <v>587</v>
      </c>
      <c r="G20" s="75">
        <v>47.8</v>
      </c>
      <c r="H20" s="78">
        <v>518</v>
      </c>
      <c r="I20" s="75">
        <v>20.7</v>
      </c>
      <c r="J20" s="76">
        <v>22.5</v>
      </c>
      <c r="K20" s="80">
        <v>11</v>
      </c>
      <c r="L20" s="78">
        <v>5</v>
      </c>
      <c r="M20" s="75">
        <v>24.3</v>
      </c>
      <c r="N20" s="76">
        <v>32.299999999999997</v>
      </c>
      <c r="O20" s="79">
        <f t="shared" si="0"/>
        <v>576</v>
      </c>
      <c r="P20" s="76">
        <v>47.3</v>
      </c>
      <c r="Q20" s="80">
        <f t="shared" si="1"/>
        <v>513</v>
      </c>
      <c r="R20" s="78">
        <v>657</v>
      </c>
      <c r="S20" s="75">
        <f t="shared" si="2"/>
        <v>6.57</v>
      </c>
      <c r="T20" s="85">
        <v>1.9</v>
      </c>
      <c r="U20" s="86">
        <v>0.5</v>
      </c>
      <c r="V20" s="87">
        <v>7.3</v>
      </c>
      <c r="W20" s="89"/>
    </row>
    <row r="21" spans="1:23" x14ac:dyDescent="0.35">
      <c r="A21" s="90"/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</row>
    <row r="22" spans="1:23" x14ac:dyDescent="0.35">
      <c r="B22" s="95"/>
    </row>
    <row r="23" spans="1:23" x14ac:dyDescent="0.35">
      <c r="O23" s="94" t="s">
        <v>112</v>
      </c>
      <c r="Q23" s="94" t="s">
        <v>112</v>
      </c>
      <c r="S23" s="94" t="s">
        <v>112</v>
      </c>
    </row>
  </sheetData>
  <mergeCells count="9">
    <mergeCell ref="A1:V1"/>
    <mergeCell ref="A2:H2"/>
    <mergeCell ref="I2:Q2"/>
    <mergeCell ref="R2:V2"/>
    <mergeCell ref="A3:B3"/>
    <mergeCell ref="C3:H3"/>
    <mergeCell ref="I3:L3"/>
    <mergeCell ref="M3:Q3"/>
    <mergeCell ref="T3:V3"/>
  </mergeCells>
  <pageMargins left="0.79000000000000015" right="0.79000000000000015" top="1" bottom="1" header="0.5" footer="0.5"/>
  <pageSetup paperSize="9" scale="54" orientation="landscape" horizontalDpi="4294967292" verticalDpi="4294967292"/>
  <rowBreaks count="1" manualBreakCount="1">
    <brk id="21" max="16383" man="1"/>
  </rowBreaks>
  <colBreaks count="1" manualBreakCount="1"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Z21"/>
  <sheetViews>
    <sheetView zoomScale="75" zoomScaleNormal="75" zoomScalePageLayoutView="75" workbookViewId="0">
      <selection activeCell="X41" sqref="X41"/>
    </sheetView>
  </sheetViews>
  <sheetFormatPr baseColWidth="10" defaultColWidth="12.42578125" defaultRowHeight="23.25" x14ac:dyDescent="0.35"/>
  <cols>
    <col min="1" max="2" width="10.28515625" style="94" customWidth="1"/>
    <col min="3" max="3" width="13.85546875" style="94" bestFit="1" customWidth="1"/>
    <col min="4" max="4" width="12.7109375" style="96" bestFit="1" customWidth="1"/>
    <col min="5" max="5" width="8.28515625" style="94" bestFit="1" customWidth="1"/>
    <col min="6" max="6" width="8.5703125" style="96" bestFit="1" customWidth="1"/>
    <col min="7" max="7" width="8.5703125" style="94" bestFit="1" customWidth="1"/>
    <col min="8" max="8" width="8.5703125" style="96" bestFit="1" customWidth="1"/>
    <col min="9" max="9" width="12" style="94" bestFit="1" customWidth="1"/>
    <col min="10" max="10" width="8.28515625" style="96" bestFit="1" customWidth="1"/>
    <col min="11" max="11" width="8.5703125" style="94" bestFit="1" customWidth="1"/>
    <col min="12" max="12" width="8.5703125" style="96" bestFit="1" customWidth="1"/>
    <col min="13" max="13" width="12" style="94" bestFit="1" customWidth="1"/>
    <col min="14" max="14" width="8.28515625" style="96" bestFit="1" customWidth="1"/>
    <col min="15" max="15" width="8.5703125" style="94" bestFit="1" customWidth="1"/>
    <col min="16" max="16" width="8.5703125" style="96" bestFit="1" customWidth="1"/>
    <col min="17" max="17" width="8.5703125" style="94" bestFit="1" customWidth="1"/>
    <col min="18" max="18" width="15.5703125" style="96" bestFit="1" customWidth="1"/>
    <col min="19" max="19" width="13" style="94" bestFit="1" customWidth="1"/>
    <col min="20" max="20" width="14" style="96" bestFit="1" customWidth="1"/>
    <col min="21" max="21" width="13" style="94" bestFit="1" customWidth="1"/>
    <col min="22" max="22" width="13" style="96" bestFit="1" customWidth="1"/>
    <col min="23" max="23" width="13.28515625" style="94" bestFit="1" customWidth="1"/>
    <col min="24" max="24" width="13.85546875" style="94" bestFit="1" customWidth="1"/>
    <col min="25" max="26" width="18" style="94" bestFit="1" customWidth="1"/>
    <col min="27" max="16384" width="12.42578125" style="94"/>
  </cols>
  <sheetData>
    <row r="1" spans="1:26" s="66" customFormat="1" ht="38.1" customHeight="1" x14ac:dyDescent="0.25">
      <c r="A1" s="269" t="s">
        <v>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</row>
    <row r="2" spans="1:26" s="66" customFormat="1" ht="33" customHeight="1" thickBot="1" x14ac:dyDescent="0.3">
      <c r="A2" s="272" t="s">
        <v>90</v>
      </c>
      <c r="B2" s="273"/>
      <c r="C2" s="273"/>
      <c r="D2" s="273"/>
      <c r="E2" s="273"/>
      <c r="F2" s="273"/>
      <c r="G2" s="273"/>
      <c r="H2" s="273"/>
      <c r="I2" s="273" t="s">
        <v>122</v>
      </c>
      <c r="J2" s="273"/>
      <c r="K2" s="273"/>
      <c r="L2" s="273"/>
      <c r="M2" s="273"/>
      <c r="N2" s="273"/>
      <c r="O2" s="273"/>
      <c r="P2" s="273"/>
      <c r="Q2" s="273"/>
      <c r="R2" s="273" t="s">
        <v>92</v>
      </c>
      <c r="S2" s="273"/>
      <c r="T2" s="273"/>
      <c r="U2" s="273"/>
      <c r="V2" s="274"/>
    </row>
    <row r="3" spans="1:26" s="66" customFormat="1" ht="54" customHeight="1" thickBot="1" x14ac:dyDescent="0.3">
      <c r="A3" s="275" t="s">
        <v>2</v>
      </c>
      <c r="B3" s="276"/>
      <c r="C3" s="277" t="s">
        <v>93</v>
      </c>
      <c r="D3" s="278"/>
      <c r="E3" s="278"/>
      <c r="F3" s="278"/>
      <c r="G3" s="278"/>
      <c r="H3" s="279"/>
      <c r="I3" s="277" t="s">
        <v>94</v>
      </c>
      <c r="J3" s="278"/>
      <c r="K3" s="278"/>
      <c r="L3" s="279"/>
      <c r="M3" s="277" t="s">
        <v>95</v>
      </c>
      <c r="N3" s="278"/>
      <c r="O3" s="278"/>
      <c r="P3" s="278"/>
      <c r="Q3" s="279"/>
      <c r="R3" s="67" t="s">
        <v>96</v>
      </c>
      <c r="S3" s="68" t="s">
        <v>97</v>
      </c>
      <c r="T3" s="277" t="s">
        <v>98</v>
      </c>
      <c r="U3" s="278"/>
      <c r="V3" s="280"/>
    </row>
    <row r="4" spans="1:26" s="72" customFormat="1" ht="51" customHeight="1" x14ac:dyDescent="0.25">
      <c r="A4" s="69" t="s">
        <v>99</v>
      </c>
      <c r="B4" s="70" t="s">
        <v>100</v>
      </c>
      <c r="C4" s="70" t="s">
        <v>101</v>
      </c>
      <c r="D4" s="70" t="s">
        <v>102</v>
      </c>
      <c r="E4" s="70" t="s">
        <v>103</v>
      </c>
      <c r="F4" s="70" t="s">
        <v>104</v>
      </c>
      <c r="G4" s="70" t="s">
        <v>105</v>
      </c>
      <c r="H4" s="70" t="s">
        <v>106</v>
      </c>
      <c r="I4" s="70" t="s">
        <v>107</v>
      </c>
      <c r="J4" s="70" t="s">
        <v>103</v>
      </c>
      <c r="K4" s="70" t="s">
        <v>104</v>
      </c>
      <c r="L4" s="70" t="s">
        <v>106</v>
      </c>
      <c r="M4" s="70" t="s">
        <v>107</v>
      </c>
      <c r="N4" s="70" t="s">
        <v>103</v>
      </c>
      <c r="O4" s="70" t="s">
        <v>104</v>
      </c>
      <c r="P4" s="70" t="s">
        <v>105</v>
      </c>
      <c r="Q4" s="70" t="s">
        <v>106</v>
      </c>
      <c r="R4" s="70" t="s">
        <v>108</v>
      </c>
      <c r="S4" s="70" t="s">
        <v>109</v>
      </c>
      <c r="T4" s="70" t="s">
        <v>110</v>
      </c>
      <c r="U4" s="70" t="s">
        <v>111</v>
      </c>
      <c r="V4" s="71" t="s">
        <v>109</v>
      </c>
      <c r="Y4" s="100" t="str">
        <f>S4</f>
        <v>V     (m3/år)</v>
      </c>
      <c r="Z4" s="84" t="str">
        <f>V4</f>
        <v>V     (m3/år)</v>
      </c>
    </row>
    <row r="5" spans="1:26" s="84" customFormat="1" ht="33" customHeight="1" x14ac:dyDescent="0.35">
      <c r="A5" s="73">
        <v>21</v>
      </c>
      <c r="B5" s="74">
        <v>13</v>
      </c>
      <c r="C5" s="75">
        <v>8.6</v>
      </c>
      <c r="D5" s="76">
        <v>7.3</v>
      </c>
      <c r="E5" s="75">
        <v>8.9</v>
      </c>
      <c r="F5" s="77">
        <v>2500</v>
      </c>
      <c r="G5" s="75">
        <v>15.6</v>
      </c>
      <c r="H5" s="78">
        <v>63</v>
      </c>
      <c r="I5" s="75"/>
      <c r="J5" s="76"/>
      <c r="K5" s="79"/>
      <c r="L5" s="77"/>
      <c r="M5" s="75">
        <v>7.3</v>
      </c>
      <c r="N5" s="76">
        <v>8.9</v>
      </c>
      <c r="O5" s="79">
        <f>F5-K5</f>
        <v>2500</v>
      </c>
      <c r="P5" s="76">
        <v>15.6</v>
      </c>
      <c r="Q5" s="80">
        <f>H5-L5</f>
        <v>63</v>
      </c>
      <c r="R5" s="77">
        <v>63</v>
      </c>
      <c r="S5" s="75">
        <f>R5/A5</f>
        <v>3</v>
      </c>
      <c r="T5" s="81"/>
      <c r="U5" s="82"/>
      <c r="V5" s="83"/>
      <c r="W5" s="101">
        <f>R5/A5</f>
        <v>3</v>
      </c>
      <c r="Y5" s="100">
        <f>S5</f>
        <v>3</v>
      </c>
      <c r="Z5" s="84">
        <f>V5</f>
        <v>0</v>
      </c>
    </row>
    <row r="6" spans="1:26" s="84" customFormat="1" ht="33" customHeight="1" x14ac:dyDescent="0.35">
      <c r="A6" s="73">
        <v>26</v>
      </c>
      <c r="B6" s="74">
        <v>18</v>
      </c>
      <c r="C6" s="75">
        <v>11.2</v>
      </c>
      <c r="D6" s="76">
        <v>9.6</v>
      </c>
      <c r="E6" s="75">
        <v>10.4</v>
      </c>
      <c r="F6" s="77">
        <v>2500</v>
      </c>
      <c r="G6" s="75">
        <v>21.4</v>
      </c>
      <c r="H6" s="78">
        <v>105</v>
      </c>
      <c r="I6" s="75">
        <v>9</v>
      </c>
      <c r="J6" s="76">
        <v>7.3</v>
      </c>
      <c r="K6" s="79">
        <v>49</v>
      </c>
      <c r="L6" s="77">
        <v>1</v>
      </c>
      <c r="M6" s="75">
        <v>9.6</v>
      </c>
      <c r="N6" s="76">
        <v>10.5</v>
      </c>
      <c r="O6" s="79">
        <f t="shared" ref="O6:O18" si="0">F6-K6</f>
        <v>2451</v>
      </c>
      <c r="P6" s="76">
        <v>21.2</v>
      </c>
      <c r="Q6" s="80">
        <f t="shared" ref="Q6:Q18" si="1">H6-L6</f>
        <v>104</v>
      </c>
      <c r="R6" s="77">
        <v>105</v>
      </c>
      <c r="S6" s="75">
        <f t="shared" ref="S6:S18" si="2">R6/A6</f>
        <v>4.0384615384615383</v>
      </c>
      <c r="T6" s="85">
        <v>3.1</v>
      </c>
      <c r="U6" s="86">
        <v>1.2</v>
      </c>
      <c r="V6" s="87">
        <v>8.4</v>
      </c>
      <c r="W6" s="101">
        <f>R6/A6</f>
        <v>4.0384615384615383</v>
      </c>
      <c r="X6" s="100">
        <f>(R6-R5)/(B6-B5)</f>
        <v>8.4</v>
      </c>
      <c r="Y6" s="100">
        <f t="shared" ref="Y6:Y18" si="3">S6</f>
        <v>4.0384615384615383</v>
      </c>
      <c r="Z6" s="84">
        <f t="shared" ref="Z6:Z18" si="4">V6</f>
        <v>8.4</v>
      </c>
    </row>
    <row r="7" spans="1:26" s="84" customFormat="1" ht="33" customHeight="1" x14ac:dyDescent="0.35">
      <c r="A7" s="73">
        <v>31</v>
      </c>
      <c r="B7" s="74">
        <v>23</v>
      </c>
      <c r="C7" s="75">
        <v>13.5</v>
      </c>
      <c r="D7" s="76">
        <v>11.7</v>
      </c>
      <c r="E7" s="75">
        <v>11.8</v>
      </c>
      <c r="F7" s="77">
        <v>2451</v>
      </c>
      <c r="G7" s="75">
        <v>27</v>
      </c>
      <c r="H7" s="78">
        <v>159</v>
      </c>
      <c r="I7" s="75">
        <v>10.9</v>
      </c>
      <c r="J7" s="76">
        <v>9.1999999999999993</v>
      </c>
      <c r="K7" s="79">
        <v>1100</v>
      </c>
      <c r="L7" s="77">
        <v>39</v>
      </c>
      <c r="M7" s="75">
        <v>12</v>
      </c>
      <c r="N7" s="76">
        <v>13.6</v>
      </c>
      <c r="O7" s="79">
        <f t="shared" si="0"/>
        <v>1351</v>
      </c>
      <c r="P7" s="76">
        <v>19.7</v>
      </c>
      <c r="Q7" s="80">
        <f t="shared" si="1"/>
        <v>120</v>
      </c>
      <c r="R7" s="77">
        <v>160</v>
      </c>
      <c r="S7" s="75">
        <f t="shared" si="2"/>
        <v>5.161290322580645</v>
      </c>
      <c r="T7" s="85">
        <v>2.7</v>
      </c>
      <c r="U7" s="86">
        <v>1.2</v>
      </c>
      <c r="V7" s="87">
        <v>11</v>
      </c>
      <c r="W7" s="101">
        <f t="shared" ref="W7:W18" si="5">R7/A7</f>
        <v>5.161290322580645</v>
      </c>
      <c r="X7" s="100">
        <f t="shared" ref="X7:X18" si="6">(R7-R6)/(B7-B6)</f>
        <v>11</v>
      </c>
      <c r="Y7" s="100">
        <f t="shared" si="3"/>
        <v>5.161290322580645</v>
      </c>
      <c r="Z7" s="84">
        <f t="shared" si="4"/>
        <v>11</v>
      </c>
    </row>
    <row r="8" spans="1:26" s="84" customFormat="1" ht="33" customHeight="1" x14ac:dyDescent="0.35">
      <c r="A8" s="73">
        <v>37</v>
      </c>
      <c r="B8" s="74">
        <v>29</v>
      </c>
      <c r="C8" s="75">
        <v>16.100000000000001</v>
      </c>
      <c r="D8" s="76">
        <v>14.4</v>
      </c>
      <c r="E8" s="75">
        <v>15.7</v>
      </c>
      <c r="F8" s="77">
        <v>1351</v>
      </c>
      <c r="G8" s="75">
        <v>26</v>
      </c>
      <c r="H8" s="78">
        <v>185</v>
      </c>
      <c r="I8" s="75">
        <v>12.9</v>
      </c>
      <c r="J8" s="76">
        <v>11</v>
      </c>
      <c r="K8" s="79">
        <v>32</v>
      </c>
      <c r="L8" s="77">
        <v>2</v>
      </c>
      <c r="M8" s="75">
        <v>14.4</v>
      </c>
      <c r="N8" s="76">
        <v>15.7</v>
      </c>
      <c r="O8" s="79">
        <f t="shared" si="0"/>
        <v>1319</v>
      </c>
      <c r="P8" s="76">
        <v>25.7</v>
      </c>
      <c r="Q8" s="80">
        <f t="shared" si="1"/>
        <v>183</v>
      </c>
      <c r="R8" s="77">
        <v>225</v>
      </c>
      <c r="S8" s="75">
        <f t="shared" si="2"/>
        <v>6.0810810810810807</v>
      </c>
      <c r="T8" s="85">
        <v>3.4</v>
      </c>
      <c r="U8" s="86">
        <v>1</v>
      </c>
      <c r="V8" s="87">
        <v>10.9</v>
      </c>
      <c r="W8" s="101">
        <f t="shared" si="5"/>
        <v>6.0810810810810807</v>
      </c>
      <c r="X8" s="100">
        <f t="shared" si="6"/>
        <v>10.833333333333334</v>
      </c>
      <c r="Y8" s="100">
        <f t="shared" si="3"/>
        <v>6.0810810810810807</v>
      </c>
      <c r="Z8" s="84">
        <f t="shared" si="4"/>
        <v>10.9</v>
      </c>
    </row>
    <row r="9" spans="1:26" s="84" customFormat="1" ht="33" customHeight="1" x14ac:dyDescent="0.35">
      <c r="A9" s="73">
        <v>43</v>
      </c>
      <c r="B9" s="74">
        <v>35</v>
      </c>
      <c r="C9" s="75">
        <v>18.3</v>
      </c>
      <c r="D9" s="76">
        <v>16.5</v>
      </c>
      <c r="E9" s="75">
        <v>17.7</v>
      </c>
      <c r="F9" s="77">
        <v>1319</v>
      </c>
      <c r="G9" s="75">
        <v>32.5</v>
      </c>
      <c r="H9" s="78">
        <v>260</v>
      </c>
      <c r="I9" s="75">
        <v>14.6</v>
      </c>
      <c r="J9" s="76">
        <v>12.4</v>
      </c>
      <c r="K9" s="79">
        <v>31</v>
      </c>
      <c r="L9" s="77">
        <v>3</v>
      </c>
      <c r="M9" s="75">
        <v>16.5</v>
      </c>
      <c r="N9" s="76">
        <v>17.8</v>
      </c>
      <c r="O9" s="79">
        <f t="shared" si="0"/>
        <v>1288</v>
      </c>
      <c r="P9" s="76">
        <v>32.1</v>
      </c>
      <c r="Q9" s="80">
        <f t="shared" si="1"/>
        <v>257</v>
      </c>
      <c r="R9" s="77">
        <v>302</v>
      </c>
      <c r="S9" s="75">
        <f t="shared" si="2"/>
        <v>7.0232558139534884</v>
      </c>
      <c r="T9" s="85">
        <v>4.4000000000000004</v>
      </c>
      <c r="U9" s="86">
        <v>1.1000000000000001</v>
      </c>
      <c r="V9" s="87">
        <v>12.8</v>
      </c>
      <c r="W9" s="101">
        <f t="shared" si="5"/>
        <v>7.0232558139534884</v>
      </c>
      <c r="X9" s="100">
        <f t="shared" si="6"/>
        <v>12.833333333333334</v>
      </c>
      <c r="Y9" s="100">
        <f t="shared" si="3"/>
        <v>7.0232558139534884</v>
      </c>
      <c r="Z9" s="84">
        <f t="shared" si="4"/>
        <v>12.8</v>
      </c>
    </row>
    <row r="10" spans="1:26" s="84" customFormat="1" ht="33" customHeight="1" x14ac:dyDescent="0.35">
      <c r="A10" s="73">
        <v>48</v>
      </c>
      <c r="B10" s="74">
        <v>40</v>
      </c>
      <c r="C10" s="75">
        <v>20</v>
      </c>
      <c r="D10" s="76">
        <v>18</v>
      </c>
      <c r="E10" s="75">
        <v>19.2</v>
      </c>
      <c r="F10" s="77">
        <v>1288</v>
      </c>
      <c r="G10" s="75">
        <v>37.5</v>
      </c>
      <c r="H10" s="78">
        <v>323</v>
      </c>
      <c r="I10" s="75">
        <v>17</v>
      </c>
      <c r="J10" s="76">
        <v>16.399999999999999</v>
      </c>
      <c r="K10" s="79">
        <v>500</v>
      </c>
      <c r="L10" s="77">
        <v>87</v>
      </c>
      <c r="M10" s="75">
        <v>18.5</v>
      </c>
      <c r="N10" s="76">
        <v>20.9</v>
      </c>
      <c r="O10" s="79">
        <f t="shared" si="0"/>
        <v>788</v>
      </c>
      <c r="P10" s="76">
        <v>26.9</v>
      </c>
      <c r="Q10" s="80">
        <f t="shared" si="1"/>
        <v>236</v>
      </c>
      <c r="R10" s="77">
        <v>368</v>
      </c>
      <c r="S10" s="75">
        <f t="shared" si="2"/>
        <v>7.666666666666667</v>
      </c>
      <c r="T10" s="85">
        <v>2.9</v>
      </c>
      <c r="U10" s="86">
        <v>1.1000000000000001</v>
      </c>
      <c r="V10" s="87">
        <v>13.2</v>
      </c>
      <c r="W10" s="101">
        <f t="shared" si="5"/>
        <v>7.666666666666667</v>
      </c>
      <c r="X10" s="100">
        <f t="shared" si="6"/>
        <v>13.2</v>
      </c>
      <c r="Y10" s="100">
        <f t="shared" si="3"/>
        <v>7.666666666666667</v>
      </c>
      <c r="Z10" s="84">
        <f t="shared" si="4"/>
        <v>13.2</v>
      </c>
    </row>
    <row r="11" spans="1:26" s="84" customFormat="1" ht="33" customHeight="1" x14ac:dyDescent="0.35">
      <c r="A11" s="73">
        <v>53</v>
      </c>
      <c r="B11" s="74">
        <v>45</v>
      </c>
      <c r="C11" s="75">
        <v>21.5</v>
      </c>
      <c r="D11" s="76">
        <v>19.899999999999999</v>
      </c>
      <c r="E11" s="75">
        <v>22.5</v>
      </c>
      <c r="F11" s="77">
        <v>788</v>
      </c>
      <c r="G11" s="75">
        <v>31.4</v>
      </c>
      <c r="H11" s="78">
        <v>292</v>
      </c>
      <c r="I11" s="75">
        <v>17.5</v>
      </c>
      <c r="J11" s="76">
        <v>15.8</v>
      </c>
      <c r="K11" s="79">
        <v>15</v>
      </c>
      <c r="L11" s="77">
        <v>2</v>
      </c>
      <c r="M11" s="75">
        <v>19.899999999999999</v>
      </c>
      <c r="N11" s="76">
        <v>22.6</v>
      </c>
      <c r="O11" s="79">
        <f t="shared" si="0"/>
        <v>773</v>
      </c>
      <c r="P11" s="76">
        <v>31.1</v>
      </c>
      <c r="Q11" s="80">
        <f t="shared" si="1"/>
        <v>290</v>
      </c>
      <c r="R11" s="77">
        <v>424</v>
      </c>
      <c r="S11" s="75">
        <f t="shared" si="2"/>
        <v>8</v>
      </c>
      <c r="T11" s="85">
        <v>3.3</v>
      </c>
      <c r="U11" s="86">
        <v>0.9</v>
      </c>
      <c r="V11" s="87">
        <v>11.3</v>
      </c>
      <c r="W11" s="101">
        <f t="shared" si="5"/>
        <v>8</v>
      </c>
      <c r="X11" s="100">
        <f t="shared" si="6"/>
        <v>11.2</v>
      </c>
      <c r="Y11" s="100">
        <f t="shared" si="3"/>
        <v>8</v>
      </c>
      <c r="Z11" s="84">
        <f t="shared" si="4"/>
        <v>11.3</v>
      </c>
    </row>
    <row r="12" spans="1:26" s="84" customFormat="1" ht="33" customHeight="1" x14ac:dyDescent="0.35">
      <c r="A12" s="73">
        <v>58</v>
      </c>
      <c r="B12" s="74">
        <v>50</v>
      </c>
      <c r="C12" s="75">
        <v>22.8</v>
      </c>
      <c r="D12" s="76">
        <v>21.2</v>
      </c>
      <c r="E12" s="75">
        <v>24.4</v>
      </c>
      <c r="F12" s="77">
        <v>773</v>
      </c>
      <c r="G12" s="75">
        <v>36</v>
      </c>
      <c r="H12" s="78">
        <v>353</v>
      </c>
      <c r="I12" s="75">
        <v>18.5</v>
      </c>
      <c r="J12" s="76">
        <v>17</v>
      </c>
      <c r="K12" s="79">
        <v>15</v>
      </c>
      <c r="L12" s="77">
        <v>3</v>
      </c>
      <c r="M12" s="75">
        <v>21.2</v>
      </c>
      <c r="N12" s="76">
        <v>24.5</v>
      </c>
      <c r="O12" s="79">
        <f t="shared" si="0"/>
        <v>758</v>
      </c>
      <c r="P12" s="76">
        <v>35.700000000000003</v>
      </c>
      <c r="Q12" s="80">
        <f t="shared" si="1"/>
        <v>350</v>
      </c>
      <c r="R12" s="77">
        <v>487</v>
      </c>
      <c r="S12" s="75">
        <f t="shared" si="2"/>
        <v>8.3965517241379306</v>
      </c>
      <c r="T12" s="85">
        <v>3.5</v>
      </c>
      <c r="U12" s="86">
        <v>1</v>
      </c>
      <c r="V12" s="87">
        <v>12.7</v>
      </c>
      <c r="W12" s="101">
        <f t="shared" si="5"/>
        <v>8.3965517241379306</v>
      </c>
      <c r="X12" s="100">
        <f t="shared" si="6"/>
        <v>12.6</v>
      </c>
      <c r="Y12" s="100">
        <f t="shared" si="3"/>
        <v>8.3965517241379306</v>
      </c>
      <c r="Z12" s="84">
        <f t="shared" si="4"/>
        <v>12.7</v>
      </c>
    </row>
    <row r="13" spans="1:26" s="84" customFormat="1" ht="33" customHeight="1" x14ac:dyDescent="0.35">
      <c r="A13" s="73">
        <v>63</v>
      </c>
      <c r="B13" s="74">
        <v>55</v>
      </c>
      <c r="C13" s="75">
        <v>24</v>
      </c>
      <c r="D13" s="76">
        <v>22.3</v>
      </c>
      <c r="E13" s="88">
        <v>26</v>
      </c>
      <c r="F13" s="77">
        <v>758</v>
      </c>
      <c r="G13" s="75">
        <v>40.200000000000003</v>
      </c>
      <c r="H13" s="78">
        <v>411</v>
      </c>
      <c r="I13" s="75">
        <v>19.3</v>
      </c>
      <c r="J13" s="76">
        <v>18.2</v>
      </c>
      <c r="K13" s="79">
        <v>15</v>
      </c>
      <c r="L13" s="77">
        <v>3</v>
      </c>
      <c r="M13" s="75">
        <v>22.3</v>
      </c>
      <c r="N13" s="76">
        <v>26.1</v>
      </c>
      <c r="O13" s="79">
        <f t="shared" si="0"/>
        <v>743</v>
      </c>
      <c r="P13" s="76">
        <v>39.799999999999997</v>
      </c>
      <c r="Q13" s="80">
        <f t="shared" si="1"/>
        <v>408</v>
      </c>
      <c r="R13" s="77">
        <v>548</v>
      </c>
      <c r="S13" s="75">
        <f t="shared" si="2"/>
        <v>8.6984126984126977</v>
      </c>
      <c r="T13" s="85">
        <v>3</v>
      </c>
      <c r="U13" s="86">
        <v>0.9</v>
      </c>
      <c r="V13" s="87">
        <v>12.3</v>
      </c>
      <c r="W13" s="101">
        <f t="shared" si="5"/>
        <v>8.6984126984126977</v>
      </c>
      <c r="X13" s="100">
        <f t="shared" si="6"/>
        <v>12.2</v>
      </c>
      <c r="Y13" s="100">
        <f t="shared" si="3"/>
        <v>8.6984126984126977</v>
      </c>
      <c r="Z13" s="84">
        <f t="shared" si="4"/>
        <v>12.3</v>
      </c>
    </row>
    <row r="14" spans="1:26" s="84" customFormat="1" ht="33" customHeight="1" x14ac:dyDescent="0.35">
      <c r="A14" s="73">
        <v>70</v>
      </c>
      <c r="B14" s="74">
        <v>62</v>
      </c>
      <c r="C14" s="75">
        <v>25.5</v>
      </c>
      <c r="D14" s="76">
        <v>23.6</v>
      </c>
      <c r="E14" s="88">
        <v>27.8</v>
      </c>
      <c r="F14" s="77">
        <v>743</v>
      </c>
      <c r="G14" s="75">
        <v>45.2</v>
      </c>
      <c r="H14" s="78">
        <v>484</v>
      </c>
      <c r="I14" s="75">
        <v>20.2</v>
      </c>
      <c r="J14" s="76">
        <v>19.5</v>
      </c>
      <c r="K14" s="79">
        <v>20</v>
      </c>
      <c r="L14" s="77">
        <v>5</v>
      </c>
      <c r="M14" s="75">
        <v>23.6</v>
      </c>
      <c r="N14" s="76">
        <v>28</v>
      </c>
      <c r="O14" s="79">
        <f t="shared" si="0"/>
        <v>723</v>
      </c>
      <c r="P14" s="76">
        <v>44.6</v>
      </c>
      <c r="Q14" s="80">
        <f t="shared" si="1"/>
        <v>479</v>
      </c>
      <c r="R14" s="77">
        <v>624</v>
      </c>
      <c r="S14" s="75">
        <f t="shared" si="2"/>
        <v>8.9142857142857146</v>
      </c>
      <c r="T14" s="85">
        <v>2.4</v>
      </c>
      <c r="U14" s="86">
        <v>0.8</v>
      </c>
      <c r="V14" s="87">
        <v>11</v>
      </c>
      <c r="W14" s="101">
        <f t="shared" si="5"/>
        <v>8.9142857142857146</v>
      </c>
      <c r="X14" s="100">
        <f t="shared" si="6"/>
        <v>10.857142857142858</v>
      </c>
      <c r="Y14" s="100">
        <f t="shared" si="3"/>
        <v>8.9142857142857146</v>
      </c>
      <c r="Z14" s="84">
        <f t="shared" si="4"/>
        <v>11</v>
      </c>
    </row>
    <row r="15" spans="1:26" s="84" customFormat="1" ht="33" customHeight="1" x14ac:dyDescent="0.35">
      <c r="A15" s="73">
        <v>75</v>
      </c>
      <c r="B15" s="74">
        <v>67</v>
      </c>
      <c r="C15" s="75">
        <v>26.4</v>
      </c>
      <c r="D15" s="76">
        <v>24.4</v>
      </c>
      <c r="E15" s="88">
        <v>29.2</v>
      </c>
      <c r="F15" s="77">
        <v>723</v>
      </c>
      <c r="G15" s="75">
        <v>48.4</v>
      </c>
      <c r="H15" s="78">
        <v>533</v>
      </c>
      <c r="I15" s="75">
        <v>20.7</v>
      </c>
      <c r="J15" s="76">
        <v>20.399999999999999</v>
      </c>
      <c r="K15" s="79">
        <v>14</v>
      </c>
      <c r="L15" s="77">
        <v>4</v>
      </c>
      <c r="M15" s="75">
        <v>24.4</v>
      </c>
      <c r="N15" s="76">
        <v>29.3</v>
      </c>
      <c r="O15" s="79">
        <f t="shared" si="0"/>
        <v>709</v>
      </c>
      <c r="P15" s="76">
        <v>47.9</v>
      </c>
      <c r="Q15" s="80">
        <f t="shared" si="1"/>
        <v>529</v>
      </c>
      <c r="R15" s="77">
        <v>678</v>
      </c>
      <c r="S15" s="75">
        <f t="shared" si="2"/>
        <v>9.0399999999999991</v>
      </c>
      <c r="T15" s="85">
        <v>2.2999999999999998</v>
      </c>
      <c r="U15" s="86">
        <v>0.8</v>
      </c>
      <c r="V15" s="87">
        <v>11</v>
      </c>
      <c r="W15" s="101">
        <f t="shared" si="5"/>
        <v>9.0399999999999991</v>
      </c>
      <c r="X15" s="100">
        <f t="shared" si="6"/>
        <v>10.8</v>
      </c>
      <c r="Y15" s="100">
        <f t="shared" si="3"/>
        <v>9.0399999999999991</v>
      </c>
      <c r="Z15" s="84">
        <f t="shared" si="4"/>
        <v>11</v>
      </c>
    </row>
    <row r="16" spans="1:26" s="84" customFormat="1" ht="33" customHeight="1" x14ac:dyDescent="0.35">
      <c r="A16" s="73">
        <v>80</v>
      </c>
      <c r="B16" s="74">
        <v>72</v>
      </c>
      <c r="C16" s="75">
        <v>27.2</v>
      </c>
      <c r="D16" s="76">
        <v>25.1</v>
      </c>
      <c r="E16" s="88">
        <v>30.5</v>
      </c>
      <c r="F16" s="77">
        <v>709</v>
      </c>
      <c r="G16" s="75">
        <v>51.7</v>
      </c>
      <c r="H16" s="78">
        <v>584</v>
      </c>
      <c r="I16" s="75">
        <v>21.2</v>
      </c>
      <c r="J16" s="76">
        <v>21.3</v>
      </c>
      <c r="K16" s="79">
        <v>14</v>
      </c>
      <c r="L16" s="77">
        <v>5</v>
      </c>
      <c r="M16" s="75">
        <v>25.2</v>
      </c>
      <c r="N16" s="76">
        <v>30.6</v>
      </c>
      <c r="O16" s="79">
        <f t="shared" si="0"/>
        <v>695</v>
      </c>
      <c r="P16" s="76">
        <v>51.2</v>
      </c>
      <c r="Q16" s="80">
        <f t="shared" si="1"/>
        <v>579</v>
      </c>
      <c r="R16" s="77">
        <v>733</v>
      </c>
      <c r="S16" s="75">
        <f t="shared" si="2"/>
        <v>9.1624999999999996</v>
      </c>
      <c r="T16" s="85">
        <v>2.2999999999999998</v>
      </c>
      <c r="U16" s="86">
        <v>0.8</v>
      </c>
      <c r="V16" s="87">
        <v>11</v>
      </c>
      <c r="W16" s="101">
        <f t="shared" si="5"/>
        <v>9.1624999999999996</v>
      </c>
      <c r="X16" s="100">
        <f t="shared" si="6"/>
        <v>11</v>
      </c>
      <c r="Y16" s="100">
        <f t="shared" si="3"/>
        <v>9.1624999999999996</v>
      </c>
      <c r="Z16" s="84">
        <f t="shared" si="4"/>
        <v>11</v>
      </c>
    </row>
    <row r="17" spans="1:26" s="84" customFormat="1" ht="33" customHeight="1" x14ac:dyDescent="0.35">
      <c r="A17" s="73">
        <v>85</v>
      </c>
      <c r="B17" s="74">
        <v>77</v>
      </c>
      <c r="C17" s="75">
        <v>27.9</v>
      </c>
      <c r="D17" s="76">
        <v>25.8</v>
      </c>
      <c r="E17" s="75">
        <v>31.7</v>
      </c>
      <c r="F17" s="78">
        <v>695</v>
      </c>
      <c r="G17" s="75">
        <v>55</v>
      </c>
      <c r="H17" s="78">
        <v>633</v>
      </c>
      <c r="I17" s="75">
        <v>21.6</v>
      </c>
      <c r="J17" s="76">
        <v>22.2</v>
      </c>
      <c r="K17" s="79">
        <v>13</v>
      </c>
      <c r="L17" s="77">
        <v>5</v>
      </c>
      <c r="M17" s="75">
        <v>25.8</v>
      </c>
      <c r="N17" s="76">
        <v>31.9</v>
      </c>
      <c r="O17" s="79">
        <f t="shared" si="0"/>
        <v>682</v>
      </c>
      <c r="P17" s="76">
        <v>54.5</v>
      </c>
      <c r="Q17" s="80">
        <f t="shared" si="1"/>
        <v>628</v>
      </c>
      <c r="R17" s="77">
        <v>787</v>
      </c>
      <c r="S17" s="75">
        <f t="shared" si="2"/>
        <v>9.2588235294117656</v>
      </c>
      <c r="T17" s="85">
        <v>2.2000000000000002</v>
      </c>
      <c r="U17" s="86">
        <v>0.8</v>
      </c>
      <c r="V17" s="87">
        <v>10.9</v>
      </c>
      <c r="W17" s="101">
        <f t="shared" si="5"/>
        <v>9.2588235294117656</v>
      </c>
      <c r="X17" s="100">
        <f t="shared" si="6"/>
        <v>10.8</v>
      </c>
      <c r="Y17" s="100">
        <f t="shared" si="3"/>
        <v>9.2588235294117656</v>
      </c>
      <c r="Z17" s="84">
        <f t="shared" si="4"/>
        <v>10.9</v>
      </c>
    </row>
    <row r="18" spans="1:26" s="84" customFormat="1" ht="33" customHeight="1" x14ac:dyDescent="0.35">
      <c r="A18" s="73">
        <v>90</v>
      </c>
      <c r="B18" s="74">
        <v>82</v>
      </c>
      <c r="C18" s="75">
        <v>28.6</v>
      </c>
      <c r="D18" s="76">
        <v>26.3</v>
      </c>
      <c r="E18" s="75">
        <v>33</v>
      </c>
      <c r="F18" s="78">
        <v>682</v>
      </c>
      <c r="G18" s="75">
        <v>58.3</v>
      </c>
      <c r="H18" s="78">
        <v>681</v>
      </c>
      <c r="I18" s="75">
        <v>21.9</v>
      </c>
      <c r="J18" s="76">
        <v>23.1</v>
      </c>
      <c r="K18" s="80">
        <v>13</v>
      </c>
      <c r="L18" s="78">
        <v>5</v>
      </c>
      <c r="M18" s="75">
        <v>26.4</v>
      </c>
      <c r="N18" s="76">
        <v>33.1</v>
      </c>
      <c r="O18" s="79">
        <f t="shared" si="0"/>
        <v>669</v>
      </c>
      <c r="P18" s="76">
        <v>57.7</v>
      </c>
      <c r="Q18" s="80">
        <f t="shared" si="1"/>
        <v>676</v>
      </c>
      <c r="R18" s="78">
        <v>840</v>
      </c>
      <c r="S18" s="75">
        <f t="shared" si="2"/>
        <v>9.3333333333333339</v>
      </c>
      <c r="T18" s="85">
        <v>2.2000000000000002</v>
      </c>
      <c r="U18" s="86">
        <v>0.8</v>
      </c>
      <c r="V18" s="87">
        <v>10.7</v>
      </c>
      <c r="W18" s="101">
        <f t="shared" si="5"/>
        <v>9.3333333333333339</v>
      </c>
      <c r="X18" s="100">
        <f t="shared" si="6"/>
        <v>10.6</v>
      </c>
      <c r="Y18" s="100">
        <f t="shared" si="3"/>
        <v>9.3333333333333339</v>
      </c>
      <c r="Z18" s="84">
        <f t="shared" si="4"/>
        <v>10.7</v>
      </c>
    </row>
    <row r="19" spans="1:26" x14ac:dyDescent="0.35">
      <c r="A19" s="90"/>
      <c r="B19" s="9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</row>
    <row r="20" spans="1:26" x14ac:dyDescent="0.35">
      <c r="B20" s="95"/>
    </row>
    <row r="21" spans="1:26" x14ac:dyDescent="0.35">
      <c r="O21" s="94" t="s">
        <v>112</v>
      </c>
      <c r="Q21" s="94" t="s">
        <v>112</v>
      </c>
      <c r="S21" s="94" t="s">
        <v>112</v>
      </c>
    </row>
  </sheetData>
  <mergeCells count="9">
    <mergeCell ref="A1:V1"/>
    <mergeCell ref="A2:H2"/>
    <mergeCell ref="I2:Q2"/>
    <mergeCell ref="R2:V2"/>
    <mergeCell ref="A3:B3"/>
    <mergeCell ref="C3:H3"/>
    <mergeCell ref="I3:L3"/>
    <mergeCell ref="M3:Q3"/>
    <mergeCell ref="T3:V3"/>
  </mergeCells>
  <pageMargins left="0.79000000000000015" right="0.79000000000000015" top="1" bottom="1" header="0.5" footer="0.5"/>
  <pageSetup paperSize="9" scale="54" orientation="landscape" horizontalDpi="4294967292" verticalDpi="4294967292"/>
  <rowBreaks count="1" manualBreakCount="1">
    <brk id="19" max="16383" man="1"/>
  </rowBreaks>
  <colBreaks count="1" manualBreakCount="1">
    <brk id="2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8</vt:i4>
      </vt:variant>
    </vt:vector>
  </HeadingPairs>
  <TitlesOfParts>
    <vt:vector size="18" baseType="lpstr">
      <vt:lpstr>Kalkulator</vt:lpstr>
      <vt:lpstr>Tabell</vt:lpstr>
      <vt:lpstr>FE</vt:lpstr>
      <vt:lpstr>Proddata fra skoghåndbok</vt:lpstr>
      <vt:lpstr>Grunnverdi</vt:lpstr>
      <vt:lpstr>F8</vt:lpstr>
      <vt:lpstr>F11</vt:lpstr>
      <vt:lpstr>F14</vt:lpstr>
      <vt:lpstr>F17</vt:lpstr>
      <vt:lpstr>F20</vt:lpstr>
      <vt:lpstr>Netto_normal</vt:lpstr>
      <vt:lpstr>Netto_skade</vt:lpstr>
      <vt:lpstr>Rentefot_1</vt:lpstr>
      <vt:lpstr>Rentefot_2</vt:lpstr>
      <vt:lpstr>Rentefot_3</vt:lpstr>
      <vt:lpstr>Sensitivitets_analyser</vt:lpstr>
      <vt:lpstr>Slutthogst_normal</vt:lpstr>
      <vt:lpstr>Vol_daa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Øivind Østby-Berntsen</dc:creator>
  <cp:lastModifiedBy>Thomas</cp:lastModifiedBy>
  <cp:lastPrinted>2014-09-10T07:19:48Z</cp:lastPrinted>
  <dcterms:created xsi:type="dcterms:W3CDTF">2014-09-04T11:20:07Z</dcterms:created>
  <dcterms:modified xsi:type="dcterms:W3CDTF">2018-05-14T12:19:02Z</dcterms:modified>
</cp:coreProperties>
</file>